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/>
  <mc:AlternateContent xmlns:mc="http://schemas.openxmlformats.org/markup-compatibility/2006">
    <mc:Choice Requires="x15">
      <x15ac:absPath xmlns:x15ac="http://schemas.microsoft.com/office/spreadsheetml/2010/11/ac" url="C:\Users\Irene\Desktop\工作文件5-6\SEPT\0922下单计划\下单计划\"/>
    </mc:Choice>
  </mc:AlternateContent>
  <xr:revisionPtr revIDLastSave="0" documentId="13_ncr:1_{48C0C053-3241-4327-B915-E509691CC5BC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汇总" sheetId="2" r:id="rId1"/>
    <sheet name="Sheet2" sheetId="3" state="hidden" r:id="rId2"/>
    <sheet name="Sheet4" sheetId="5" state="hidden" r:id="rId3"/>
    <sheet name="Sheet1" sheetId="8" state="hidden" r:id="rId4"/>
    <sheet name="明细" sheetId="1" r:id="rId5"/>
    <sheet name="Sheet5" sheetId="6" state="hidden" r:id="rId6"/>
    <sheet name="Sheet6" sheetId="7" state="hidden" r:id="rId7"/>
    <sheet name="Sheet3" sheetId="4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Sheet3!$A$1:$K$41</definedName>
    <definedName name="_xlnm._FilterDatabase" localSheetId="5" hidden="1">Sheet5!$A$2:$BD$103</definedName>
    <definedName name="_xlnm._FilterDatabase" localSheetId="4" hidden="1">明细!$A$2:$BU$94</definedName>
  </definedNames>
  <calcPr calcId="191028"/>
  <pivotCaches>
    <pivotCache cacheId="1720" r:id="rId13"/>
    <pivotCache cacheId="1721" r:id="rId14"/>
    <pivotCache cacheId="172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7" i="1" l="1"/>
  <c r="AX81" i="1"/>
  <c r="BD81" i="1" s="1"/>
  <c r="AX93" i="1"/>
  <c r="AX86" i="1"/>
  <c r="AX88" i="1"/>
  <c r="AY85" i="1"/>
  <c r="AX85" i="1"/>
  <c r="AX4" i="1"/>
  <c r="BD4" i="1" s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3" i="1"/>
  <c r="BP4" i="1" l="1"/>
  <c r="BI4" i="1" s="1"/>
  <c r="BP81" i="1"/>
  <c r="BN81" i="1" s="1"/>
  <c r="BP87" i="1"/>
  <c r="BI87" i="1" s="1"/>
  <c r="BN4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7" i="1"/>
  <c r="BU89" i="1"/>
  <c r="BU90" i="1"/>
  <c r="BU92" i="1"/>
  <c r="BU93" i="1"/>
  <c r="BU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7" i="1"/>
  <c r="BT89" i="1"/>
  <c r="BT90" i="1"/>
  <c r="BT92" i="1"/>
  <c r="BT93" i="1"/>
  <c r="BT3" i="1"/>
  <c r="AM4" i="1"/>
  <c r="BS4" i="1" s="1"/>
  <c r="AM5" i="1"/>
  <c r="BS5" i="1" s="1"/>
  <c r="AM6" i="1"/>
  <c r="BS6" i="1" s="1"/>
  <c r="AM7" i="1"/>
  <c r="BS7" i="1" s="1"/>
  <c r="AM8" i="1"/>
  <c r="BS8" i="1" s="1"/>
  <c r="AM9" i="1"/>
  <c r="BS9" i="1" s="1"/>
  <c r="AM10" i="1"/>
  <c r="BS10" i="1" s="1"/>
  <c r="AM11" i="1"/>
  <c r="BS11" i="1" s="1"/>
  <c r="AM12" i="1"/>
  <c r="BS12" i="1" s="1"/>
  <c r="AM13" i="1"/>
  <c r="BS13" i="1" s="1"/>
  <c r="AM14" i="1"/>
  <c r="BS14" i="1" s="1"/>
  <c r="AM15" i="1"/>
  <c r="BS15" i="1" s="1"/>
  <c r="AM16" i="1"/>
  <c r="BS16" i="1" s="1"/>
  <c r="AM17" i="1"/>
  <c r="BS17" i="1" s="1"/>
  <c r="AM18" i="1"/>
  <c r="BS18" i="1" s="1"/>
  <c r="AM19" i="1"/>
  <c r="BS19" i="1" s="1"/>
  <c r="AM20" i="1"/>
  <c r="BS20" i="1" s="1"/>
  <c r="AM21" i="1"/>
  <c r="BS21" i="1" s="1"/>
  <c r="AM22" i="1"/>
  <c r="BS22" i="1" s="1"/>
  <c r="AM23" i="1"/>
  <c r="BS23" i="1" s="1"/>
  <c r="AM24" i="1"/>
  <c r="BS24" i="1" s="1"/>
  <c r="AM25" i="1"/>
  <c r="BS25" i="1" s="1"/>
  <c r="AM26" i="1"/>
  <c r="BS26" i="1" s="1"/>
  <c r="AM27" i="1"/>
  <c r="BS27" i="1" s="1"/>
  <c r="AM28" i="1"/>
  <c r="BS28" i="1" s="1"/>
  <c r="AM29" i="1"/>
  <c r="BS29" i="1" s="1"/>
  <c r="AM30" i="1"/>
  <c r="BS30" i="1" s="1"/>
  <c r="AM31" i="1"/>
  <c r="BS31" i="1" s="1"/>
  <c r="AM32" i="1"/>
  <c r="BS32" i="1" s="1"/>
  <c r="AM33" i="1"/>
  <c r="BS33" i="1" s="1"/>
  <c r="AM34" i="1"/>
  <c r="AM35" i="1"/>
  <c r="BS35" i="1" s="1"/>
  <c r="AM36" i="1"/>
  <c r="BS36" i="1" s="1"/>
  <c r="AM37" i="1"/>
  <c r="AM38" i="1"/>
  <c r="BS38" i="1" s="1"/>
  <c r="AM39" i="1"/>
  <c r="AM40" i="1"/>
  <c r="BS40" i="1" s="1"/>
  <c r="AM41" i="1"/>
  <c r="BS41" i="1" s="1"/>
  <c r="AM42" i="1"/>
  <c r="BS42" i="1" s="1"/>
  <c r="AM43" i="1"/>
  <c r="BS43" i="1" s="1"/>
  <c r="AM44" i="1"/>
  <c r="BS44" i="1" s="1"/>
  <c r="AM45" i="1"/>
  <c r="BS45" i="1" s="1"/>
  <c r="AM46" i="1"/>
  <c r="BS46" i="1" s="1"/>
  <c r="AM47" i="1"/>
  <c r="BS47" i="1" s="1"/>
  <c r="AM48" i="1"/>
  <c r="BS48" i="1" s="1"/>
  <c r="AM49" i="1"/>
  <c r="BS49" i="1" s="1"/>
  <c r="AM50" i="1"/>
  <c r="BS50" i="1" s="1"/>
  <c r="AM51" i="1"/>
  <c r="BS51" i="1" s="1"/>
  <c r="AM52" i="1"/>
  <c r="BS52" i="1" s="1"/>
  <c r="AM53" i="1"/>
  <c r="BS53" i="1" s="1"/>
  <c r="AM54" i="1"/>
  <c r="BS54" i="1" s="1"/>
  <c r="AM55" i="1"/>
  <c r="BS55" i="1" s="1"/>
  <c r="AM56" i="1"/>
  <c r="BS56" i="1" s="1"/>
  <c r="AM57" i="1"/>
  <c r="BS57" i="1" s="1"/>
  <c r="AM58" i="1"/>
  <c r="BS58" i="1" s="1"/>
  <c r="AM59" i="1"/>
  <c r="BS59" i="1" s="1"/>
  <c r="AM60" i="1"/>
  <c r="BS60" i="1" s="1"/>
  <c r="AM61" i="1"/>
  <c r="BS61" i="1" s="1"/>
  <c r="AM62" i="1"/>
  <c r="BS62" i="1" s="1"/>
  <c r="AM63" i="1"/>
  <c r="BS63" i="1" s="1"/>
  <c r="AM64" i="1"/>
  <c r="BS64" i="1" s="1"/>
  <c r="AM65" i="1"/>
  <c r="BS65" i="1" s="1"/>
  <c r="AM66" i="1"/>
  <c r="BS66" i="1" s="1"/>
  <c r="AM67" i="1"/>
  <c r="BS67" i="1" s="1"/>
  <c r="AM68" i="1"/>
  <c r="BS68" i="1" s="1"/>
  <c r="AM69" i="1"/>
  <c r="BS69" i="1" s="1"/>
  <c r="AM70" i="1"/>
  <c r="BS70" i="1" s="1"/>
  <c r="AM71" i="1"/>
  <c r="BS71" i="1" s="1"/>
  <c r="AM72" i="1"/>
  <c r="BS72" i="1" s="1"/>
  <c r="AM73" i="1"/>
  <c r="BS73" i="1" s="1"/>
  <c r="AM74" i="1"/>
  <c r="BS74" i="1" s="1"/>
  <c r="AM75" i="1"/>
  <c r="BS75" i="1" s="1"/>
  <c r="AM76" i="1"/>
  <c r="BS76" i="1" s="1"/>
  <c r="AM77" i="1"/>
  <c r="BS77" i="1" s="1"/>
  <c r="AM78" i="1"/>
  <c r="BS78" i="1" s="1"/>
  <c r="AM79" i="1"/>
  <c r="BS79" i="1" s="1"/>
  <c r="AM80" i="1"/>
  <c r="BS80" i="1" s="1"/>
  <c r="AM81" i="1"/>
  <c r="BS81" i="1" s="1"/>
  <c r="AM82" i="1"/>
  <c r="BS82" i="1" s="1"/>
  <c r="AM83" i="1"/>
  <c r="BS83" i="1" s="1"/>
  <c r="AM84" i="1"/>
  <c r="BS84" i="1" s="1"/>
  <c r="AM85" i="1"/>
  <c r="AM86" i="1"/>
  <c r="AM87" i="1"/>
  <c r="AM88" i="1"/>
  <c r="AM89" i="1"/>
  <c r="BS89" i="1" s="1"/>
  <c r="AM90" i="1"/>
  <c r="BS90" i="1" s="1"/>
  <c r="AM91" i="1"/>
  <c r="BS91" i="1" s="1"/>
  <c r="AM92" i="1"/>
  <c r="BS92" i="1" s="1"/>
  <c r="AM93" i="1"/>
  <c r="AM3" i="1"/>
  <c r="BS3" i="1" s="1"/>
  <c r="AL4" i="1"/>
  <c r="AL5" i="1"/>
  <c r="BR5" i="1" s="1"/>
  <c r="AL6" i="1"/>
  <c r="BR6" i="1" s="1"/>
  <c r="AL7" i="1"/>
  <c r="BR7" i="1" s="1"/>
  <c r="AL8" i="1"/>
  <c r="BR8" i="1" s="1"/>
  <c r="AL9" i="1"/>
  <c r="BR9" i="1" s="1"/>
  <c r="AL10" i="1"/>
  <c r="BR10" i="1" s="1"/>
  <c r="AL11" i="1"/>
  <c r="BR11" i="1" s="1"/>
  <c r="AL12" i="1"/>
  <c r="BR12" i="1" s="1"/>
  <c r="AL13" i="1"/>
  <c r="BR13" i="1" s="1"/>
  <c r="AL14" i="1"/>
  <c r="AL15" i="1"/>
  <c r="BR15" i="1" s="1"/>
  <c r="AL16" i="1"/>
  <c r="BR16" i="1" s="1"/>
  <c r="AL17" i="1"/>
  <c r="BR17" i="1" s="1"/>
  <c r="AL18" i="1"/>
  <c r="BR18" i="1" s="1"/>
  <c r="AL19" i="1"/>
  <c r="BR19" i="1" s="1"/>
  <c r="AL20" i="1"/>
  <c r="BR20" i="1" s="1"/>
  <c r="AL21" i="1"/>
  <c r="BR21" i="1" s="1"/>
  <c r="AL22" i="1"/>
  <c r="BR22" i="1" s="1"/>
  <c r="AL23" i="1"/>
  <c r="BR23" i="1" s="1"/>
  <c r="AL24" i="1"/>
  <c r="AL25" i="1"/>
  <c r="BR25" i="1" s="1"/>
  <c r="AL26" i="1"/>
  <c r="BR26" i="1" s="1"/>
  <c r="AL27" i="1"/>
  <c r="BR27" i="1" s="1"/>
  <c r="AL28" i="1"/>
  <c r="BR28" i="1" s="1"/>
  <c r="AL29" i="1"/>
  <c r="BR29" i="1" s="1"/>
  <c r="AL30" i="1"/>
  <c r="BR30" i="1" s="1"/>
  <c r="AL31" i="1"/>
  <c r="BR31" i="1" s="1"/>
  <c r="AL32" i="1"/>
  <c r="BR32" i="1" s="1"/>
  <c r="AL33" i="1"/>
  <c r="BR33" i="1" s="1"/>
  <c r="AL34" i="1"/>
  <c r="BR34" i="1" s="1"/>
  <c r="AL35" i="1"/>
  <c r="BR35" i="1" s="1"/>
  <c r="AL36" i="1"/>
  <c r="BR36" i="1" s="1"/>
  <c r="AL37" i="1"/>
  <c r="BR37" i="1" s="1"/>
  <c r="AL38" i="1"/>
  <c r="BR38" i="1" s="1"/>
  <c r="AL39" i="1"/>
  <c r="BR39" i="1" s="1"/>
  <c r="AL40" i="1"/>
  <c r="BR40" i="1" s="1"/>
  <c r="AL41" i="1"/>
  <c r="BR41" i="1" s="1"/>
  <c r="AL42" i="1"/>
  <c r="AL43" i="1"/>
  <c r="BR43" i="1" s="1"/>
  <c r="AL44" i="1"/>
  <c r="BR44" i="1" s="1"/>
  <c r="AL45" i="1"/>
  <c r="BR45" i="1" s="1"/>
  <c r="AL46" i="1"/>
  <c r="BR46" i="1" s="1"/>
  <c r="AL47" i="1"/>
  <c r="BR47" i="1" s="1"/>
  <c r="AL48" i="1"/>
  <c r="BR48" i="1" s="1"/>
  <c r="AL49" i="1"/>
  <c r="BR49" i="1" s="1"/>
  <c r="AL50" i="1"/>
  <c r="BR50" i="1" s="1"/>
  <c r="AL51" i="1"/>
  <c r="BR51" i="1" s="1"/>
  <c r="AL52" i="1"/>
  <c r="BR52" i="1" s="1"/>
  <c r="AL53" i="1"/>
  <c r="BR53" i="1" s="1"/>
  <c r="AL54" i="1"/>
  <c r="BR54" i="1" s="1"/>
  <c r="AL55" i="1"/>
  <c r="BR55" i="1" s="1"/>
  <c r="AL56" i="1"/>
  <c r="BR56" i="1" s="1"/>
  <c r="AL57" i="1"/>
  <c r="BR57" i="1" s="1"/>
  <c r="AL58" i="1"/>
  <c r="BR58" i="1" s="1"/>
  <c r="AL59" i="1"/>
  <c r="BR59" i="1" s="1"/>
  <c r="AL60" i="1"/>
  <c r="BR60" i="1" s="1"/>
  <c r="AL61" i="1"/>
  <c r="BR61" i="1" s="1"/>
  <c r="AL62" i="1"/>
  <c r="BR62" i="1" s="1"/>
  <c r="AL63" i="1"/>
  <c r="BR63" i="1" s="1"/>
  <c r="AL64" i="1"/>
  <c r="BR64" i="1" s="1"/>
  <c r="AL65" i="1"/>
  <c r="BR65" i="1" s="1"/>
  <c r="AL66" i="1"/>
  <c r="BR66" i="1" s="1"/>
  <c r="AL67" i="1"/>
  <c r="BR67" i="1" s="1"/>
  <c r="AL68" i="1"/>
  <c r="BR68" i="1" s="1"/>
  <c r="AL69" i="1"/>
  <c r="BR69" i="1" s="1"/>
  <c r="AL70" i="1"/>
  <c r="BR70" i="1" s="1"/>
  <c r="AL71" i="1"/>
  <c r="BR71" i="1" s="1"/>
  <c r="AL72" i="1"/>
  <c r="BR72" i="1" s="1"/>
  <c r="AL73" i="1"/>
  <c r="BR73" i="1" s="1"/>
  <c r="AL74" i="1"/>
  <c r="BR74" i="1" s="1"/>
  <c r="AL75" i="1"/>
  <c r="BR75" i="1" s="1"/>
  <c r="AL76" i="1"/>
  <c r="BR76" i="1" s="1"/>
  <c r="AL77" i="1"/>
  <c r="BR77" i="1" s="1"/>
  <c r="AL78" i="1"/>
  <c r="BR78" i="1" s="1"/>
  <c r="AL79" i="1"/>
  <c r="BR79" i="1" s="1"/>
  <c r="AL80" i="1"/>
  <c r="BR80" i="1" s="1"/>
  <c r="AL81" i="1"/>
  <c r="BR81" i="1" s="1"/>
  <c r="AL82" i="1"/>
  <c r="AL83" i="1"/>
  <c r="BR83" i="1" s="1"/>
  <c r="AL84" i="1"/>
  <c r="BR84" i="1" s="1"/>
  <c r="AL85" i="1"/>
  <c r="AL86" i="1"/>
  <c r="AL87" i="1"/>
  <c r="AL88" i="1"/>
  <c r="AL89" i="1"/>
  <c r="BR89" i="1" s="1"/>
  <c r="AL90" i="1"/>
  <c r="BR90" i="1" s="1"/>
  <c r="AL91" i="1"/>
  <c r="BR91" i="1" s="1"/>
  <c r="AL92" i="1"/>
  <c r="BR92" i="1" s="1"/>
  <c r="AL93" i="1"/>
  <c r="AL3" i="1"/>
  <c r="BR3" i="1" s="1"/>
  <c r="AK4" i="1"/>
  <c r="BQ4" i="1" s="1"/>
  <c r="AK5" i="1"/>
  <c r="BQ5" i="1" s="1"/>
  <c r="AK6" i="1"/>
  <c r="BQ6" i="1" s="1"/>
  <c r="AK7" i="1"/>
  <c r="BQ7" i="1" s="1"/>
  <c r="AK8" i="1"/>
  <c r="BQ8" i="1" s="1"/>
  <c r="AK9" i="1"/>
  <c r="BQ9" i="1" s="1"/>
  <c r="AK10" i="1"/>
  <c r="BQ10" i="1" s="1"/>
  <c r="AK11" i="1"/>
  <c r="BQ11" i="1" s="1"/>
  <c r="AK12" i="1"/>
  <c r="BQ12" i="1" s="1"/>
  <c r="AK13" i="1"/>
  <c r="BQ13" i="1" s="1"/>
  <c r="AK14" i="1"/>
  <c r="BQ14" i="1" s="1"/>
  <c r="AK15" i="1"/>
  <c r="BQ15" i="1" s="1"/>
  <c r="AK16" i="1"/>
  <c r="BQ16" i="1" s="1"/>
  <c r="AK17" i="1"/>
  <c r="BQ17" i="1" s="1"/>
  <c r="AK18" i="1"/>
  <c r="BQ18" i="1" s="1"/>
  <c r="AK19" i="1"/>
  <c r="BQ19" i="1" s="1"/>
  <c r="AK20" i="1"/>
  <c r="BQ20" i="1" s="1"/>
  <c r="AK21" i="1"/>
  <c r="BQ21" i="1" s="1"/>
  <c r="AK22" i="1"/>
  <c r="BQ22" i="1" s="1"/>
  <c r="AK23" i="1"/>
  <c r="BQ23" i="1" s="1"/>
  <c r="AK24" i="1"/>
  <c r="BQ24" i="1" s="1"/>
  <c r="AK25" i="1"/>
  <c r="BQ25" i="1" s="1"/>
  <c r="AK26" i="1"/>
  <c r="BQ26" i="1" s="1"/>
  <c r="AK27" i="1"/>
  <c r="BQ27" i="1" s="1"/>
  <c r="AK28" i="1"/>
  <c r="BQ28" i="1" s="1"/>
  <c r="AK29" i="1"/>
  <c r="BQ29" i="1" s="1"/>
  <c r="AK30" i="1"/>
  <c r="BQ30" i="1" s="1"/>
  <c r="AK31" i="1"/>
  <c r="BQ31" i="1" s="1"/>
  <c r="AK32" i="1"/>
  <c r="BQ32" i="1" s="1"/>
  <c r="AK33" i="1"/>
  <c r="BQ33" i="1" s="1"/>
  <c r="AK34" i="1"/>
  <c r="BQ34" i="1" s="1"/>
  <c r="AK35" i="1"/>
  <c r="BQ35" i="1" s="1"/>
  <c r="AK36" i="1"/>
  <c r="BQ36" i="1" s="1"/>
  <c r="AK37" i="1"/>
  <c r="AK38" i="1"/>
  <c r="BQ38" i="1" s="1"/>
  <c r="AK39" i="1"/>
  <c r="BQ39" i="1" s="1"/>
  <c r="AK40" i="1"/>
  <c r="BQ40" i="1" s="1"/>
  <c r="AK41" i="1"/>
  <c r="BQ41" i="1" s="1"/>
  <c r="AK42" i="1"/>
  <c r="AK43" i="1"/>
  <c r="BQ43" i="1" s="1"/>
  <c r="AK44" i="1"/>
  <c r="BQ44" i="1" s="1"/>
  <c r="AK45" i="1"/>
  <c r="BQ45" i="1" s="1"/>
  <c r="AK46" i="1"/>
  <c r="BQ46" i="1" s="1"/>
  <c r="AK47" i="1"/>
  <c r="BQ47" i="1" s="1"/>
  <c r="AK48" i="1"/>
  <c r="AK49" i="1"/>
  <c r="BQ49" i="1" s="1"/>
  <c r="AK50" i="1"/>
  <c r="BQ50" i="1" s="1"/>
  <c r="AK51" i="1"/>
  <c r="BQ51" i="1" s="1"/>
  <c r="AK52" i="1"/>
  <c r="BQ52" i="1" s="1"/>
  <c r="AK53" i="1"/>
  <c r="BQ53" i="1" s="1"/>
  <c r="AK54" i="1"/>
  <c r="BQ54" i="1" s="1"/>
  <c r="AK55" i="1"/>
  <c r="BQ55" i="1" s="1"/>
  <c r="AK56" i="1"/>
  <c r="BQ56" i="1" s="1"/>
  <c r="AK57" i="1"/>
  <c r="BQ57" i="1" s="1"/>
  <c r="AK58" i="1"/>
  <c r="BQ58" i="1" s="1"/>
  <c r="AK59" i="1"/>
  <c r="BQ59" i="1" s="1"/>
  <c r="AK60" i="1"/>
  <c r="BQ60" i="1" s="1"/>
  <c r="AK61" i="1"/>
  <c r="BQ61" i="1" s="1"/>
  <c r="AK62" i="1"/>
  <c r="BQ62" i="1" s="1"/>
  <c r="AK63" i="1"/>
  <c r="BQ63" i="1" s="1"/>
  <c r="AK64" i="1"/>
  <c r="BQ64" i="1" s="1"/>
  <c r="AK65" i="1"/>
  <c r="BQ65" i="1" s="1"/>
  <c r="AK66" i="1"/>
  <c r="BQ66" i="1" s="1"/>
  <c r="AK67" i="1"/>
  <c r="BQ67" i="1" s="1"/>
  <c r="AK68" i="1"/>
  <c r="BQ68" i="1" s="1"/>
  <c r="AK69" i="1"/>
  <c r="BQ69" i="1" s="1"/>
  <c r="AK70" i="1"/>
  <c r="BQ70" i="1" s="1"/>
  <c r="AK71" i="1"/>
  <c r="BQ71" i="1" s="1"/>
  <c r="AK72" i="1"/>
  <c r="BQ72" i="1" s="1"/>
  <c r="AK73" i="1"/>
  <c r="BQ73" i="1" s="1"/>
  <c r="AK74" i="1"/>
  <c r="BQ74" i="1" s="1"/>
  <c r="AK75" i="1"/>
  <c r="BQ75" i="1" s="1"/>
  <c r="AK76" i="1"/>
  <c r="BQ76" i="1" s="1"/>
  <c r="AK77" i="1"/>
  <c r="BQ77" i="1" s="1"/>
  <c r="AK78" i="1"/>
  <c r="BQ78" i="1" s="1"/>
  <c r="AK79" i="1"/>
  <c r="BQ79" i="1" s="1"/>
  <c r="AK80" i="1"/>
  <c r="BQ80" i="1" s="1"/>
  <c r="AK81" i="1"/>
  <c r="BQ81" i="1" s="1"/>
  <c r="AK82" i="1"/>
  <c r="BQ82" i="1" s="1"/>
  <c r="AK83" i="1"/>
  <c r="BQ83" i="1" s="1"/>
  <c r="AK84" i="1"/>
  <c r="BQ84" i="1" s="1"/>
  <c r="AK85" i="1"/>
  <c r="AK86" i="1"/>
  <c r="AK87" i="1"/>
  <c r="AK88" i="1"/>
  <c r="AK89" i="1"/>
  <c r="BQ89" i="1" s="1"/>
  <c r="AK90" i="1"/>
  <c r="BQ90" i="1" s="1"/>
  <c r="AK91" i="1"/>
  <c r="BQ91" i="1" s="1"/>
  <c r="AK92" i="1"/>
  <c r="BQ92" i="1" s="1"/>
  <c r="AK93" i="1"/>
  <c r="AK3" i="1"/>
  <c r="BQ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8" i="1"/>
  <c r="AG89" i="1"/>
  <c r="AG90" i="1"/>
  <c r="AG91" i="1"/>
  <c r="AG92" i="1"/>
  <c r="AG93" i="1"/>
  <c r="AG3" i="1"/>
  <c r="BI81" i="1" l="1"/>
  <c r="BN8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W3" i="1"/>
  <c r="V3" i="1"/>
  <c r="U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AZ97" i="1"/>
  <c r="BF97" i="1" s="1"/>
  <c r="BF98" i="1" s="1"/>
  <c r="BC88" i="1"/>
  <c r="BS93" i="1" l="1"/>
  <c r="BR93" i="1"/>
  <c r="BQ93" i="1"/>
  <c r="AI4" i="1"/>
  <c r="AV4" i="1" s="1"/>
  <c r="AI5" i="1"/>
  <c r="AX5" i="1" s="1"/>
  <c r="AI6" i="1"/>
  <c r="AI7" i="1"/>
  <c r="AI8" i="1"/>
  <c r="AX8" i="1" s="1"/>
  <c r="AI9" i="1"/>
  <c r="AX9" i="1" s="1"/>
  <c r="AI10" i="1"/>
  <c r="AI11" i="1"/>
  <c r="AX11" i="1" s="1"/>
  <c r="AI12" i="1"/>
  <c r="AI13" i="1"/>
  <c r="AX13" i="1" s="1"/>
  <c r="AI14" i="1"/>
  <c r="AX14" i="1" s="1"/>
  <c r="AI15" i="1"/>
  <c r="AI16" i="1"/>
  <c r="AX16" i="1" s="1"/>
  <c r="AI17" i="1"/>
  <c r="AX17" i="1" s="1"/>
  <c r="AI18" i="1"/>
  <c r="AX18" i="1" s="1"/>
  <c r="AI19" i="1"/>
  <c r="AX19" i="1" s="1"/>
  <c r="AI20" i="1"/>
  <c r="AX20" i="1" s="1"/>
  <c r="AI21" i="1"/>
  <c r="AX21" i="1" s="1"/>
  <c r="AI22" i="1"/>
  <c r="AX22" i="1" s="1"/>
  <c r="AI23" i="1"/>
  <c r="AX23" i="1" s="1"/>
  <c r="AI24" i="1"/>
  <c r="AX24" i="1" s="1"/>
  <c r="AI25" i="1"/>
  <c r="AX25" i="1" s="1"/>
  <c r="AI26" i="1"/>
  <c r="AX26" i="1" s="1"/>
  <c r="AI27" i="1"/>
  <c r="AX27" i="1" s="1"/>
  <c r="AI28" i="1"/>
  <c r="AI29" i="1"/>
  <c r="AX29" i="1" s="1"/>
  <c r="AI30" i="1"/>
  <c r="AX30" i="1" s="1"/>
  <c r="AI31" i="1"/>
  <c r="AX31" i="1" s="1"/>
  <c r="AI32" i="1"/>
  <c r="AX32" i="1" s="1"/>
  <c r="AI33" i="1"/>
  <c r="AX33" i="1" s="1"/>
  <c r="AI34" i="1"/>
  <c r="AI35" i="1"/>
  <c r="AI36" i="1"/>
  <c r="AX36" i="1" s="1"/>
  <c r="AI37" i="1"/>
  <c r="AX37" i="1" s="1"/>
  <c r="AI38" i="1"/>
  <c r="AX38" i="1" s="1"/>
  <c r="AI39" i="1"/>
  <c r="AI40" i="1"/>
  <c r="AI41" i="1"/>
  <c r="AX41" i="1" s="1"/>
  <c r="AI42" i="1"/>
  <c r="AX42" i="1" s="1"/>
  <c r="AI43" i="1"/>
  <c r="AI44" i="1"/>
  <c r="AI45" i="1"/>
  <c r="AI46" i="1"/>
  <c r="AI47" i="1"/>
  <c r="AI48" i="1"/>
  <c r="AI49" i="1"/>
  <c r="AX49" i="1" s="1"/>
  <c r="AI50" i="1"/>
  <c r="AX50" i="1" s="1"/>
  <c r="AI51" i="1"/>
  <c r="AX51" i="1" s="1"/>
  <c r="AI52" i="1"/>
  <c r="AI53" i="1"/>
  <c r="AI54" i="1"/>
  <c r="AX54" i="1" s="1"/>
  <c r="AI55" i="1"/>
  <c r="AI56" i="1"/>
  <c r="AI57" i="1"/>
  <c r="AX57" i="1" s="1"/>
  <c r="AI58" i="1"/>
  <c r="AI59" i="1"/>
  <c r="AX59" i="1" s="1"/>
  <c r="AI60" i="1"/>
  <c r="AX60" i="1" s="1"/>
  <c r="AI61" i="1"/>
  <c r="AX61" i="1" s="1"/>
  <c r="AI62" i="1"/>
  <c r="AX62" i="1" s="1"/>
  <c r="AI63" i="1"/>
  <c r="AX63" i="1" s="1"/>
  <c r="AI64" i="1"/>
  <c r="AX64" i="1" s="1"/>
  <c r="AI65" i="1"/>
  <c r="AI66" i="1"/>
  <c r="AI67" i="1"/>
  <c r="AI68" i="1"/>
  <c r="AX68" i="1" s="1"/>
  <c r="AI69" i="1"/>
  <c r="AI70" i="1"/>
  <c r="AX70" i="1" s="1"/>
  <c r="AI71" i="1"/>
  <c r="AX71" i="1" s="1"/>
  <c r="AI72" i="1"/>
  <c r="AI73" i="1"/>
  <c r="AX73" i="1" s="1"/>
  <c r="AI74" i="1"/>
  <c r="AX74" i="1" s="1"/>
  <c r="AI75" i="1"/>
  <c r="AI76" i="1"/>
  <c r="AI77" i="1"/>
  <c r="AX77" i="1" s="1"/>
  <c r="AI78" i="1"/>
  <c r="AX78" i="1" s="1"/>
  <c r="AI79" i="1"/>
  <c r="AX79" i="1" s="1"/>
  <c r="AI80" i="1"/>
  <c r="AX80" i="1" s="1"/>
  <c r="AI81" i="1"/>
  <c r="AV81" i="1" s="1"/>
  <c r="AI82" i="1"/>
  <c r="AX82" i="1" s="1"/>
  <c r="AI83" i="1"/>
  <c r="AI84" i="1"/>
  <c r="AI85" i="1"/>
  <c r="AI86" i="1"/>
  <c r="AI88" i="1"/>
  <c r="AI89" i="1"/>
  <c r="AX89" i="1" s="1"/>
  <c r="BD89" i="1" s="1"/>
  <c r="BP89" i="1" s="1"/>
  <c r="AI90" i="1"/>
  <c r="AX90" i="1" s="1"/>
  <c r="AI91" i="1"/>
  <c r="AI92" i="1"/>
  <c r="AX92" i="1" s="1"/>
  <c r="AI93" i="1"/>
  <c r="AI3" i="1"/>
  <c r="BI89" i="1" l="1"/>
  <c r="BN89" i="1"/>
  <c r="AV7" i="1"/>
  <c r="AX7" i="1"/>
  <c r="BD7" i="1" s="1"/>
  <c r="BP7" i="1" s="1"/>
  <c r="AX84" i="1"/>
  <c r="BD84" i="1" s="1"/>
  <c r="BP84" i="1" s="1"/>
  <c r="AX72" i="1"/>
  <c r="BD72" i="1" s="1"/>
  <c r="BP72" i="1" s="1"/>
  <c r="BD90" i="1"/>
  <c r="BP90" i="1" s="1"/>
  <c r="BD92" i="1"/>
  <c r="BP92" i="1" s="1"/>
  <c r="AX83" i="1"/>
  <c r="BD83" i="1" s="1"/>
  <c r="BP83" i="1" s="1"/>
  <c r="AX91" i="1"/>
  <c r="BD91" i="1" s="1"/>
  <c r="BP91" i="1" s="1"/>
  <c r="AV82" i="1"/>
  <c r="BD82" i="1"/>
  <c r="BP82" i="1" s="1"/>
  <c r="AV74" i="1"/>
  <c r="BD74" i="1"/>
  <c r="BP74" i="1" s="1"/>
  <c r="AV70" i="1"/>
  <c r="BD70" i="1"/>
  <c r="BP70" i="1" s="1"/>
  <c r="AV62" i="1"/>
  <c r="BD62" i="1"/>
  <c r="BP62" i="1" s="1"/>
  <c r="AV50" i="1"/>
  <c r="BD50" i="1"/>
  <c r="BP50" i="1" s="1"/>
  <c r="AV46" i="1"/>
  <c r="AX46" i="1"/>
  <c r="BD46" i="1" s="1"/>
  <c r="BP46" i="1" s="1"/>
  <c r="AV38" i="1"/>
  <c r="BD38" i="1"/>
  <c r="BP38" i="1" s="1"/>
  <c r="AV34" i="1"/>
  <c r="AX34" i="1"/>
  <c r="BD34" i="1" s="1"/>
  <c r="BP34" i="1" s="1"/>
  <c r="AV22" i="1"/>
  <c r="BD22" i="1"/>
  <c r="BP22" i="1" s="1"/>
  <c r="AV14" i="1"/>
  <c r="BD14" i="1"/>
  <c r="BP14" i="1" s="1"/>
  <c r="AV6" i="1"/>
  <c r="AX6" i="1"/>
  <c r="BD6" i="1" s="1"/>
  <c r="BP6" i="1" s="1"/>
  <c r="AV77" i="1"/>
  <c r="BD77" i="1"/>
  <c r="BP77" i="1" s="1"/>
  <c r="AV69" i="1"/>
  <c r="AX69" i="1"/>
  <c r="BD69" i="1" s="1"/>
  <c r="BP69" i="1" s="1"/>
  <c r="AV61" i="1"/>
  <c r="BD61" i="1"/>
  <c r="BP61" i="1" s="1"/>
  <c r="AV49" i="1"/>
  <c r="BD49" i="1"/>
  <c r="BP49" i="1" s="1"/>
  <c r="AV41" i="1"/>
  <c r="BD41" i="1"/>
  <c r="BP41" i="1" s="1"/>
  <c r="AV33" i="1"/>
  <c r="BD33" i="1"/>
  <c r="BP33" i="1" s="1"/>
  <c r="AV25" i="1"/>
  <c r="BD25" i="1"/>
  <c r="BP25" i="1" s="1"/>
  <c r="AV13" i="1"/>
  <c r="BD13" i="1"/>
  <c r="BP13" i="1" s="1"/>
  <c r="AV5" i="1"/>
  <c r="BD5" i="1"/>
  <c r="BP5" i="1" s="1"/>
  <c r="AV80" i="1"/>
  <c r="BD80" i="1"/>
  <c r="BP80" i="1" s="1"/>
  <c r="AV76" i="1"/>
  <c r="AX76" i="1"/>
  <c r="BD76" i="1" s="1"/>
  <c r="BP76" i="1" s="1"/>
  <c r="AV72" i="1"/>
  <c r="AV68" i="1"/>
  <c r="BD68" i="1"/>
  <c r="BP68" i="1" s="1"/>
  <c r="AV64" i="1"/>
  <c r="BD64" i="1"/>
  <c r="BP64" i="1" s="1"/>
  <c r="AV60" i="1"/>
  <c r="BD60" i="1"/>
  <c r="BP60" i="1" s="1"/>
  <c r="AV56" i="1"/>
  <c r="AX56" i="1"/>
  <c r="BD56" i="1" s="1"/>
  <c r="BP56" i="1" s="1"/>
  <c r="AV52" i="1"/>
  <c r="AX52" i="1"/>
  <c r="BD52" i="1" s="1"/>
  <c r="BP52" i="1" s="1"/>
  <c r="AV48" i="1"/>
  <c r="AX48" i="1"/>
  <c r="BD48" i="1" s="1"/>
  <c r="BP48" i="1" s="1"/>
  <c r="AV44" i="1"/>
  <c r="AX44" i="1"/>
  <c r="BD44" i="1" s="1"/>
  <c r="BP44" i="1" s="1"/>
  <c r="AV40" i="1"/>
  <c r="AX40" i="1"/>
  <c r="BD40" i="1" s="1"/>
  <c r="BP40" i="1" s="1"/>
  <c r="AV36" i="1"/>
  <c r="BD36" i="1"/>
  <c r="BP36" i="1" s="1"/>
  <c r="AV32" i="1"/>
  <c r="BD32" i="1"/>
  <c r="BP32" i="1" s="1"/>
  <c r="AV28" i="1"/>
  <c r="AX28" i="1"/>
  <c r="BD28" i="1" s="1"/>
  <c r="BP28" i="1" s="1"/>
  <c r="AV24" i="1"/>
  <c r="BD24" i="1"/>
  <c r="BP24" i="1" s="1"/>
  <c r="AV20" i="1"/>
  <c r="BD20" i="1"/>
  <c r="BP20" i="1" s="1"/>
  <c r="AV16" i="1"/>
  <c r="BD16" i="1"/>
  <c r="BP16" i="1" s="1"/>
  <c r="AV12" i="1"/>
  <c r="AX12" i="1"/>
  <c r="BD12" i="1" s="1"/>
  <c r="BP12" i="1" s="1"/>
  <c r="AV8" i="1"/>
  <c r="BD8" i="1"/>
  <c r="BP8" i="1" s="1"/>
  <c r="AV78" i="1"/>
  <c r="BD78" i="1"/>
  <c r="BP78" i="1" s="1"/>
  <c r="AV66" i="1"/>
  <c r="AX66" i="1"/>
  <c r="BD66" i="1" s="1"/>
  <c r="BP66" i="1" s="1"/>
  <c r="AV54" i="1"/>
  <c r="BD54" i="1"/>
  <c r="BP54" i="1" s="1"/>
  <c r="AV42" i="1"/>
  <c r="BD42" i="1"/>
  <c r="BP42" i="1" s="1"/>
  <c r="AV30" i="1"/>
  <c r="BD30" i="1"/>
  <c r="BP30" i="1" s="1"/>
  <c r="AV18" i="1"/>
  <c r="BD18" i="1"/>
  <c r="BP18" i="1" s="1"/>
  <c r="AV10" i="1"/>
  <c r="AX10" i="1"/>
  <c r="BD10" i="1" s="1"/>
  <c r="BP10" i="1" s="1"/>
  <c r="AV3" i="1"/>
  <c r="AX3" i="1"/>
  <c r="BD3" i="1" s="1"/>
  <c r="BP3" i="1" s="1"/>
  <c r="AV73" i="1"/>
  <c r="BD73" i="1"/>
  <c r="BP73" i="1" s="1"/>
  <c r="AV65" i="1"/>
  <c r="AX65" i="1"/>
  <c r="BD65" i="1" s="1"/>
  <c r="BP65" i="1" s="1"/>
  <c r="AV57" i="1"/>
  <c r="BD57" i="1"/>
  <c r="BP57" i="1" s="1"/>
  <c r="AV53" i="1"/>
  <c r="AX53" i="1"/>
  <c r="BD53" i="1" s="1"/>
  <c r="BP53" i="1" s="1"/>
  <c r="AV45" i="1"/>
  <c r="AX45" i="1"/>
  <c r="BD45" i="1" s="1"/>
  <c r="BP45" i="1" s="1"/>
  <c r="AV37" i="1"/>
  <c r="BD37" i="1"/>
  <c r="BP37" i="1" s="1"/>
  <c r="AV29" i="1"/>
  <c r="BD29" i="1"/>
  <c r="BP29" i="1" s="1"/>
  <c r="AV21" i="1"/>
  <c r="BD21" i="1"/>
  <c r="BP21" i="1" s="1"/>
  <c r="AV17" i="1"/>
  <c r="BD17" i="1"/>
  <c r="BP17" i="1" s="1"/>
  <c r="AV9" i="1"/>
  <c r="BD9" i="1"/>
  <c r="BP9" i="1" s="1"/>
  <c r="AV79" i="1"/>
  <c r="BD79" i="1"/>
  <c r="BP79" i="1" s="1"/>
  <c r="AV75" i="1"/>
  <c r="AX75" i="1"/>
  <c r="BD75" i="1" s="1"/>
  <c r="BP75" i="1" s="1"/>
  <c r="AV71" i="1"/>
  <c r="BD71" i="1"/>
  <c r="BP71" i="1" s="1"/>
  <c r="AV67" i="1"/>
  <c r="AX67" i="1"/>
  <c r="BD67" i="1" s="1"/>
  <c r="BP67" i="1" s="1"/>
  <c r="AV63" i="1"/>
  <c r="BD63" i="1"/>
  <c r="BP63" i="1" s="1"/>
  <c r="AV59" i="1"/>
  <c r="BD59" i="1"/>
  <c r="BP59" i="1" s="1"/>
  <c r="AV55" i="1"/>
  <c r="AX55" i="1"/>
  <c r="BD55" i="1" s="1"/>
  <c r="BP55" i="1" s="1"/>
  <c r="AV51" i="1"/>
  <c r="BD51" i="1"/>
  <c r="BP51" i="1" s="1"/>
  <c r="AV47" i="1"/>
  <c r="AX47" i="1"/>
  <c r="BD47" i="1" s="1"/>
  <c r="BP47" i="1" s="1"/>
  <c r="AV43" i="1"/>
  <c r="AX43" i="1"/>
  <c r="BD43" i="1" s="1"/>
  <c r="BP43" i="1" s="1"/>
  <c r="AV39" i="1"/>
  <c r="AX39" i="1"/>
  <c r="BD39" i="1" s="1"/>
  <c r="BP39" i="1" s="1"/>
  <c r="AV35" i="1"/>
  <c r="AX35" i="1"/>
  <c r="BD35" i="1" s="1"/>
  <c r="BP35" i="1" s="1"/>
  <c r="AV31" i="1"/>
  <c r="BD31" i="1"/>
  <c r="BP31" i="1" s="1"/>
  <c r="AV27" i="1"/>
  <c r="BD27" i="1"/>
  <c r="BP27" i="1" s="1"/>
  <c r="AV23" i="1"/>
  <c r="BD23" i="1"/>
  <c r="BP23" i="1" s="1"/>
  <c r="AV19" i="1"/>
  <c r="BD19" i="1"/>
  <c r="BP19" i="1" s="1"/>
  <c r="AV15" i="1"/>
  <c r="AX15" i="1"/>
  <c r="BD15" i="1" s="1"/>
  <c r="BP15" i="1" s="1"/>
  <c r="AV11" i="1"/>
  <c r="BD11" i="1"/>
  <c r="BP11" i="1" s="1"/>
  <c r="AV58" i="1"/>
  <c r="AX58" i="1"/>
  <c r="BD58" i="1" s="1"/>
  <c r="BP58" i="1" s="1"/>
  <c r="AV26" i="1"/>
  <c r="BD26" i="1"/>
  <c r="BP26" i="1" s="1"/>
  <c r="BB90" i="1"/>
  <c r="AV83" i="1"/>
  <c r="AV84" i="1"/>
  <c r="T85" i="1"/>
  <c r="BN13" i="1" l="1"/>
  <c r="BI13" i="1"/>
  <c r="BI49" i="1"/>
  <c r="BN49" i="1"/>
  <c r="BI22" i="1"/>
  <c r="BN22" i="1"/>
  <c r="BI70" i="1"/>
  <c r="BN70" i="1"/>
  <c r="BI82" i="1"/>
  <c r="BN82" i="1"/>
  <c r="BI11" i="1"/>
  <c r="BN11" i="1"/>
  <c r="BN43" i="1"/>
  <c r="BI43" i="1"/>
  <c r="BI59" i="1"/>
  <c r="BN59" i="1"/>
  <c r="BN75" i="1"/>
  <c r="BI75" i="1"/>
  <c r="BI9" i="1"/>
  <c r="BN9" i="1"/>
  <c r="BI21" i="1"/>
  <c r="BN21" i="1"/>
  <c r="BN37" i="1"/>
  <c r="BI37" i="1"/>
  <c r="BI53" i="1"/>
  <c r="BN53" i="1"/>
  <c r="BI65" i="1"/>
  <c r="BN65" i="1"/>
  <c r="BI3" i="1"/>
  <c r="BN3" i="1"/>
  <c r="BI18" i="1"/>
  <c r="BN18" i="1"/>
  <c r="BN42" i="1"/>
  <c r="BI42" i="1"/>
  <c r="BI66" i="1"/>
  <c r="BN66" i="1"/>
  <c r="BN8" i="1"/>
  <c r="BI8" i="1"/>
  <c r="BN16" i="1"/>
  <c r="BI16" i="1"/>
  <c r="BI24" i="1"/>
  <c r="BN24" i="1"/>
  <c r="BI32" i="1"/>
  <c r="BN32" i="1"/>
  <c r="BI40" i="1"/>
  <c r="BN40" i="1"/>
  <c r="BI48" i="1"/>
  <c r="BN48" i="1"/>
  <c r="BI56" i="1"/>
  <c r="BN56" i="1"/>
  <c r="BN64" i="1"/>
  <c r="BI64" i="1"/>
  <c r="BI90" i="1"/>
  <c r="BN90" i="1"/>
  <c r="BN80" i="1"/>
  <c r="BI80" i="1"/>
  <c r="BI69" i="1"/>
  <c r="BN69" i="1"/>
  <c r="BI38" i="1"/>
  <c r="BN38" i="1"/>
  <c r="BI7" i="1"/>
  <c r="BN7" i="1"/>
  <c r="BI26" i="1"/>
  <c r="BN26" i="1"/>
  <c r="BI35" i="1"/>
  <c r="BN35" i="1"/>
  <c r="BI67" i="1"/>
  <c r="BN67" i="1"/>
  <c r="BI76" i="1"/>
  <c r="BN76" i="1"/>
  <c r="BN5" i="1"/>
  <c r="BI5" i="1"/>
  <c r="BI25" i="1"/>
  <c r="BN25" i="1"/>
  <c r="BI41" i="1"/>
  <c r="BN41" i="1"/>
  <c r="BN61" i="1"/>
  <c r="BI61" i="1"/>
  <c r="BI77" i="1"/>
  <c r="BN77" i="1"/>
  <c r="BI14" i="1"/>
  <c r="BN14" i="1"/>
  <c r="BI34" i="1"/>
  <c r="BN34" i="1"/>
  <c r="BI46" i="1"/>
  <c r="BN46" i="1"/>
  <c r="BI62" i="1"/>
  <c r="BN62" i="1"/>
  <c r="BI74" i="1"/>
  <c r="BN74" i="1"/>
  <c r="BI91" i="1"/>
  <c r="BN91" i="1"/>
  <c r="BN72" i="1"/>
  <c r="BI72" i="1"/>
  <c r="BI33" i="1"/>
  <c r="BN33" i="1"/>
  <c r="BI6" i="1"/>
  <c r="BN6" i="1"/>
  <c r="BI50" i="1"/>
  <c r="BN50" i="1"/>
  <c r="BI92" i="1"/>
  <c r="BN92" i="1"/>
  <c r="BN19" i="1"/>
  <c r="BI19" i="1"/>
  <c r="BI27" i="1"/>
  <c r="BN27" i="1"/>
  <c r="BI51" i="1"/>
  <c r="BN51" i="1"/>
  <c r="BI58" i="1"/>
  <c r="BN58" i="1"/>
  <c r="BN15" i="1"/>
  <c r="BI15" i="1"/>
  <c r="BI23" i="1"/>
  <c r="BN23" i="1"/>
  <c r="BI31" i="1"/>
  <c r="BN31" i="1"/>
  <c r="BN39" i="1"/>
  <c r="BI39" i="1"/>
  <c r="BI47" i="1"/>
  <c r="BN47" i="1"/>
  <c r="BN55" i="1"/>
  <c r="BI55" i="1"/>
  <c r="BI63" i="1"/>
  <c r="BN63" i="1"/>
  <c r="BI71" i="1"/>
  <c r="BN71" i="1"/>
  <c r="BI79" i="1"/>
  <c r="BN79" i="1"/>
  <c r="BI17" i="1"/>
  <c r="BN17" i="1"/>
  <c r="BN29" i="1"/>
  <c r="BI29" i="1"/>
  <c r="BN45" i="1"/>
  <c r="BI45" i="1"/>
  <c r="BI57" i="1"/>
  <c r="BN57" i="1"/>
  <c r="BN73" i="1"/>
  <c r="BI73" i="1"/>
  <c r="BI10" i="1"/>
  <c r="BN10" i="1"/>
  <c r="BN30" i="1"/>
  <c r="BI30" i="1"/>
  <c r="BN54" i="1"/>
  <c r="BI54" i="1"/>
  <c r="BI78" i="1"/>
  <c r="BN78" i="1"/>
  <c r="BI12" i="1"/>
  <c r="BN12" i="1"/>
  <c r="BI20" i="1"/>
  <c r="BN20" i="1"/>
  <c r="BN28" i="1"/>
  <c r="BI28" i="1"/>
  <c r="BI36" i="1"/>
  <c r="BN36" i="1"/>
  <c r="BI44" i="1"/>
  <c r="BN44" i="1"/>
  <c r="BI52" i="1"/>
  <c r="BN52" i="1"/>
  <c r="BI60" i="1"/>
  <c r="BN60" i="1"/>
  <c r="BI68" i="1"/>
  <c r="BN68" i="1"/>
  <c r="BI83" i="1"/>
  <c r="BN83" i="1"/>
  <c r="BI84" i="1"/>
  <c r="BN84" i="1"/>
  <c r="AY37" i="1"/>
  <c r="AY28" i="1"/>
  <c r="AY82" i="1"/>
  <c r="AY42" i="1"/>
  <c r="AY27" i="1"/>
  <c r="AY66" i="1"/>
  <c r="AY69" i="1"/>
  <c r="AY24" i="1"/>
  <c r="AY55" i="1"/>
  <c r="AY34" i="1"/>
  <c r="AY84" i="1"/>
  <c r="AY50" i="1"/>
  <c r="AY64" i="1"/>
  <c r="AY74" i="1"/>
  <c r="AY46" i="1"/>
  <c r="AY65" i="1"/>
  <c r="AY31" i="1"/>
  <c r="AY56" i="1"/>
  <c r="AY68" i="1"/>
  <c r="AY57" i="1"/>
  <c r="AY67" i="1"/>
  <c r="AY33" i="1"/>
  <c r="AY23" i="1"/>
  <c r="AY44" i="1"/>
  <c r="AY45" i="1"/>
  <c r="AY25" i="1"/>
  <c r="AY76" i="1"/>
  <c r="AY47" i="1"/>
  <c r="AY13" i="1"/>
  <c r="AY48" i="1"/>
  <c r="AY39" i="1"/>
  <c r="AY4" i="1"/>
  <c r="AY14" i="1"/>
  <c r="AY20" i="1"/>
  <c r="AY78" i="1"/>
  <c r="AY40" i="1"/>
  <c r="AY6" i="1"/>
  <c r="AY59" i="1"/>
  <c r="AY41" i="1"/>
  <c r="AY8" i="1"/>
  <c r="AY7" i="1"/>
  <c r="AY26" i="1"/>
  <c r="AY52" i="1"/>
  <c r="AY83" i="1"/>
  <c r="AY75" i="1"/>
  <c r="AY49" i="1"/>
  <c r="AY61" i="1"/>
  <c r="AY53" i="1"/>
  <c r="AY81" i="1"/>
  <c r="AY32" i="1"/>
  <c r="AY54" i="1"/>
  <c r="AY21" i="1"/>
  <c r="AY35" i="1"/>
  <c r="AY3" i="1"/>
  <c r="AY22" i="1"/>
  <c r="AY19" i="1"/>
  <c r="AY9" i="1"/>
  <c r="AY30" i="1"/>
  <c r="AY38" i="1"/>
  <c r="AY80" i="1"/>
  <c r="AY90" i="1"/>
  <c r="AY43" i="1"/>
  <c r="AY17" i="1"/>
  <c r="AY91" i="1"/>
  <c r="AY12" i="1"/>
  <c r="AY60" i="1"/>
  <c r="AY18" i="1"/>
  <c r="AY62" i="1"/>
  <c r="AY36" i="1"/>
  <c r="AY89" i="1"/>
  <c r="AY58" i="1"/>
  <c r="AY51" i="1"/>
  <c r="AY10" i="1"/>
  <c r="AY73" i="1"/>
  <c r="AY71" i="1"/>
  <c r="AY16" i="1"/>
  <c r="AY15" i="1"/>
  <c r="AY29" i="1"/>
  <c r="AY63" i="1"/>
  <c r="AY5" i="1"/>
  <c r="AY11" i="1"/>
  <c r="AY86" i="1"/>
  <c r="AY88" i="1"/>
  <c r="AY93" i="1"/>
  <c r="AU74" i="1" l="1"/>
  <c r="AU46" i="1"/>
  <c r="AU65" i="1"/>
  <c r="AU31" i="1"/>
  <c r="AU56" i="1"/>
  <c r="AU68" i="1"/>
  <c r="AU57" i="1"/>
  <c r="AU67" i="1"/>
  <c r="AU4" i="1"/>
  <c r="AU5" i="1"/>
  <c r="BA5" i="1" s="1"/>
  <c r="AU6" i="1"/>
  <c r="AU7" i="1"/>
  <c r="AU8" i="1"/>
  <c r="BA8" i="1" s="1"/>
  <c r="AU9" i="1"/>
  <c r="AU10" i="1"/>
  <c r="BA10" i="1" s="1"/>
  <c r="AU11" i="1"/>
  <c r="BA11" i="1" s="1"/>
  <c r="AU12" i="1"/>
  <c r="AU13" i="1"/>
  <c r="AU14" i="1"/>
  <c r="AU15" i="1"/>
  <c r="BA15" i="1" s="1"/>
  <c r="AU16" i="1"/>
  <c r="BA16" i="1" s="1"/>
  <c r="AU17" i="1"/>
  <c r="AU18" i="1"/>
  <c r="AU19" i="1"/>
  <c r="AU20" i="1"/>
  <c r="AU21" i="1"/>
  <c r="AU22" i="1"/>
  <c r="AU23" i="1"/>
  <c r="AU25" i="1"/>
  <c r="AU26" i="1"/>
  <c r="AU29" i="1"/>
  <c r="AU30" i="1"/>
  <c r="AU32" i="1"/>
  <c r="BA32" i="1" s="1"/>
  <c r="AU33" i="1"/>
  <c r="AU35" i="1"/>
  <c r="AU36" i="1"/>
  <c r="BA36" i="1" s="1"/>
  <c r="AU38" i="1"/>
  <c r="AU39" i="1"/>
  <c r="AU40" i="1"/>
  <c r="AU41" i="1"/>
  <c r="AU43" i="1"/>
  <c r="AU44" i="1"/>
  <c r="AU45" i="1"/>
  <c r="AU47" i="1"/>
  <c r="AU48" i="1"/>
  <c r="AU49" i="1"/>
  <c r="BA49" i="1" s="1"/>
  <c r="AU51" i="1"/>
  <c r="AU52" i="1"/>
  <c r="AU53" i="1"/>
  <c r="AU54" i="1"/>
  <c r="AU58" i="1"/>
  <c r="BA58" i="1" s="1"/>
  <c r="AU59" i="1"/>
  <c r="AU60" i="1"/>
  <c r="AU61" i="1"/>
  <c r="AU62" i="1"/>
  <c r="AU63" i="1"/>
  <c r="BA63" i="1" s="1"/>
  <c r="AU70" i="1"/>
  <c r="AU71" i="1"/>
  <c r="AU72" i="1"/>
  <c r="AU73" i="1"/>
  <c r="AU75" i="1"/>
  <c r="AU76" i="1"/>
  <c r="AU77" i="1"/>
  <c r="AU78" i="1"/>
  <c r="AU79" i="1"/>
  <c r="AU80" i="1"/>
  <c r="AU81" i="1"/>
  <c r="AU83" i="1"/>
  <c r="AU85" i="1"/>
  <c r="AU86" i="1"/>
  <c r="AU87" i="1"/>
  <c r="AU88" i="1"/>
  <c r="AU89" i="1"/>
  <c r="AU90" i="1"/>
  <c r="AU91" i="1"/>
  <c r="AU92" i="1"/>
  <c r="AU93" i="1"/>
  <c r="AU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8" i="1"/>
  <c r="AJ89" i="1"/>
  <c r="AJ90" i="1"/>
  <c r="AJ91" i="1"/>
  <c r="AJ92" i="1"/>
  <c r="AJ93" i="1"/>
  <c r="AJ3" i="1"/>
  <c r="AU24" i="1"/>
  <c r="AU27" i="1"/>
  <c r="AU28" i="1"/>
  <c r="AU34" i="1"/>
  <c r="AU37" i="1"/>
  <c r="AU42" i="1"/>
  <c r="AU50" i="1"/>
  <c r="BA50" i="1" s="1"/>
  <c r="AU55" i="1"/>
  <c r="AU64" i="1"/>
  <c r="AU66" i="1"/>
  <c r="BA66" i="1" s="1"/>
  <c r="AU69" i="1"/>
  <c r="AU82" i="1"/>
  <c r="AU84" i="1"/>
  <c r="BA84" i="1" s="1"/>
  <c r="AN4" i="1" l="1"/>
  <c r="AN5" i="1"/>
  <c r="AN7" i="1"/>
  <c r="AN8" i="1"/>
  <c r="AN11" i="1"/>
  <c r="AN12" i="1"/>
  <c r="AN13" i="1"/>
  <c r="AN16" i="1"/>
  <c r="AN19" i="1"/>
  <c r="AN20" i="1"/>
  <c r="AN21" i="1"/>
  <c r="AN22" i="1"/>
  <c r="AN24" i="1"/>
  <c r="AN25" i="1"/>
  <c r="AN26" i="1"/>
  <c r="AN27" i="1"/>
  <c r="AN28" i="1"/>
  <c r="AN30" i="1"/>
  <c r="AN31" i="1"/>
  <c r="AN32" i="1"/>
  <c r="AN33" i="1"/>
  <c r="AN36" i="1"/>
  <c r="AN37" i="1"/>
  <c r="AN38" i="1"/>
  <c r="AN40" i="1"/>
  <c r="AN43" i="1"/>
  <c r="AN44" i="1"/>
  <c r="AN46" i="1"/>
  <c r="AN47" i="1"/>
  <c r="AN48" i="1"/>
  <c r="AN50" i="1"/>
  <c r="AN51" i="1"/>
  <c r="AN52" i="1"/>
  <c r="AN53" i="1"/>
  <c r="AN54" i="1"/>
  <c r="AN56" i="1"/>
  <c r="AN60" i="1"/>
  <c r="AN61" i="1"/>
  <c r="AN62" i="1"/>
  <c r="AN63" i="1"/>
  <c r="AN64" i="1"/>
  <c r="AN67" i="1"/>
  <c r="AN68" i="1"/>
  <c r="BO70" i="1"/>
  <c r="AN72" i="1"/>
  <c r="AN76" i="1"/>
  <c r="AN78" i="1"/>
  <c r="AN80" i="1"/>
  <c r="AN82" i="1"/>
  <c r="AN83" i="1"/>
  <c r="AN84" i="1"/>
  <c r="AN86" i="1"/>
  <c r="AN87" i="1"/>
  <c r="AN88" i="1"/>
  <c r="AN90" i="1"/>
  <c r="AN91" i="1"/>
  <c r="AN92" i="1"/>
  <c r="AE4" i="1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K21" i="4"/>
  <c r="K20" i="4"/>
  <c r="K19" i="4"/>
  <c r="L18" i="4"/>
  <c r="K18" i="4"/>
  <c r="L17" i="4"/>
  <c r="K17" i="4"/>
  <c r="L16" i="4"/>
  <c r="K16" i="4"/>
  <c r="K15" i="4"/>
  <c r="L14" i="4"/>
  <c r="K14" i="4"/>
  <c r="K13" i="4"/>
  <c r="K12" i="4"/>
  <c r="L11" i="4"/>
  <c r="K11" i="4"/>
  <c r="K10" i="4"/>
  <c r="K9" i="4"/>
  <c r="K8" i="4"/>
  <c r="K7" i="4"/>
  <c r="K6" i="4"/>
  <c r="K5" i="4"/>
  <c r="K4" i="4"/>
  <c r="K3" i="4"/>
  <c r="K2" i="4"/>
  <c r="C62" i="7"/>
  <c r="B62" i="7"/>
  <c r="D62" i="7" s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06" i="6"/>
  <c r="L104" i="6"/>
  <c r="L106" i="6" s="1"/>
  <c r="K101" i="6"/>
  <c r="L98" i="6"/>
  <c r="K98" i="6"/>
  <c r="N100" i="6" s="1"/>
  <c r="L95" i="6"/>
  <c r="Q94" i="6"/>
  <c r="P94" i="6"/>
  <c r="O94" i="6"/>
  <c r="M94" i="6"/>
  <c r="Q93" i="6"/>
  <c r="P93" i="6"/>
  <c r="O93" i="6"/>
  <c r="M93" i="6"/>
  <c r="P92" i="6"/>
  <c r="Q92" i="6" s="1"/>
  <c r="O92" i="6"/>
  <c r="M92" i="6"/>
  <c r="P91" i="6"/>
  <c r="Q91" i="6" s="1"/>
  <c r="O91" i="6"/>
  <c r="M91" i="6"/>
  <c r="P90" i="6"/>
  <c r="Q90" i="6" s="1"/>
  <c r="O90" i="6"/>
  <c r="M90" i="6"/>
  <c r="P89" i="6"/>
  <c r="Q89" i="6" s="1"/>
  <c r="O89" i="6"/>
  <c r="M89" i="6"/>
  <c r="P88" i="6"/>
  <c r="Q88" i="6" s="1"/>
  <c r="O88" i="6"/>
  <c r="M88" i="6"/>
  <c r="P87" i="6"/>
  <c r="Q87" i="6" s="1"/>
  <c r="O87" i="6"/>
  <c r="M87" i="6"/>
  <c r="Q86" i="6"/>
  <c r="M86" i="6"/>
  <c r="Q85" i="6"/>
  <c r="M85" i="6"/>
  <c r="Q84" i="6"/>
  <c r="M84" i="6"/>
  <c r="Q83" i="6"/>
  <c r="M83" i="6"/>
  <c r="Q82" i="6"/>
  <c r="M82" i="6"/>
  <c r="Q81" i="6"/>
  <c r="M81" i="6"/>
  <c r="P80" i="6"/>
  <c r="Q80" i="6" s="1"/>
  <c r="O80" i="6"/>
  <c r="N80" i="6"/>
  <c r="N95" i="6" s="1"/>
  <c r="N98" i="6" s="1"/>
  <c r="M80" i="6"/>
  <c r="Q79" i="6"/>
  <c r="O79" i="6"/>
  <c r="P79" i="6" s="1"/>
  <c r="M79" i="6"/>
  <c r="O78" i="6"/>
  <c r="P78" i="6" s="1"/>
  <c r="Q78" i="6" s="1"/>
  <c r="M78" i="6"/>
  <c r="Q77" i="6"/>
  <c r="O77" i="6"/>
  <c r="P77" i="6" s="1"/>
  <c r="M77" i="6"/>
  <c r="Q76" i="6"/>
  <c r="O76" i="6"/>
  <c r="P76" i="6" s="1"/>
  <c r="M76" i="6"/>
  <c r="O75" i="6"/>
  <c r="P75" i="6" s="1"/>
  <c r="Q75" i="6" s="1"/>
  <c r="M75" i="6"/>
  <c r="O74" i="6"/>
  <c r="P74" i="6" s="1"/>
  <c r="Q74" i="6" s="1"/>
  <c r="M74" i="6"/>
  <c r="Q73" i="6"/>
  <c r="O73" i="6"/>
  <c r="P73" i="6" s="1"/>
  <c r="M73" i="6"/>
  <c r="Q72" i="6"/>
  <c r="O72" i="6"/>
  <c r="P72" i="6" s="1"/>
  <c r="M72" i="6"/>
  <c r="O71" i="6"/>
  <c r="P71" i="6" s="1"/>
  <c r="Q71" i="6" s="1"/>
  <c r="M71" i="6"/>
  <c r="O70" i="6"/>
  <c r="P70" i="6" s="1"/>
  <c r="Q70" i="6" s="1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AE100" i="1"/>
  <c r="AC97" i="1"/>
  <c r="AB97" i="1"/>
  <c r="AC94" i="1"/>
  <c r="BC42" i="1"/>
  <c r="BM42" i="1" s="1"/>
  <c r="BB42" i="1"/>
  <c r="BA42" i="1"/>
  <c r="AE42" i="1"/>
  <c r="P42" i="1"/>
  <c r="L42" i="1"/>
  <c r="K42" i="1"/>
  <c r="BC34" i="1"/>
  <c r="BM34" i="1" s="1"/>
  <c r="BB34" i="1"/>
  <c r="BA34" i="1"/>
  <c r="AE34" i="1"/>
  <c r="P34" i="1"/>
  <c r="L34" i="1"/>
  <c r="K34" i="1"/>
  <c r="BO48" i="1"/>
  <c r="BC48" i="1"/>
  <c r="BH48" i="1" s="1"/>
  <c r="BB48" i="1"/>
  <c r="BA48" i="1"/>
  <c r="AE48" i="1"/>
  <c r="P48" i="1"/>
  <c r="L48" i="1"/>
  <c r="K48" i="1"/>
  <c r="BC27" i="1"/>
  <c r="BH27" i="1" s="1"/>
  <c r="BB27" i="1"/>
  <c r="BA27" i="1"/>
  <c r="AE27" i="1"/>
  <c r="P27" i="1"/>
  <c r="L27" i="1"/>
  <c r="K27" i="1"/>
  <c r="BC33" i="1"/>
  <c r="BM33" i="1" s="1"/>
  <c r="BB33" i="1"/>
  <c r="BA33" i="1"/>
  <c r="AE33" i="1"/>
  <c r="P33" i="1"/>
  <c r="L33" i="1"/>
  <c r="K33" i="1"/>
  <c r="BC37" i="1"/>
  <c r="BM37" i="1" s="1"/>
  <c r="BB37" i="1"/>
  <c r="BA37" i="1"/>
  <c r="AE37" i="1"/>
  <c r="P37" i="1"/>
  <c r="L37" i="1"/>
  <c r="K37" i="1"/>
  <c r="BC14" i="1"/>
  <c r="BH14" i="1" s="1"/>
  <c r="BB14" i="1"/>
  <c r="BA14" i="1"/>
  <c r="AE14" i="1"/>
  <c r="P14" i="1"/>
  <c r="L14" i="1"/>
  <c r="K14" i="1"/>
  <c r="BC4" i="1"/>
  <c r="BM4" i="1" s="1"/>
  <c r="BB4" i="1"/>
  <c r="BA4" i="1"/>
  <c r="P4" i="1"/>
  <c r="L4" i="1"/>
  <c r="K4" i="1"/>
  <c r="BC78" i="1"/>
  <c r="BH78" i="1" s="1"/>
  <c r="BB78" i="1"/>
  <c r="BA78" i="1"/>
  <c r="AE78" i="1"/>
  <c r="P78" i="1"/>
  <c r="L78" i="1"/>
  <c r="K78" i="1"/>
  <c r="BM92" i="1"/>
  <c r="BJ92" i="1"/>
  <c r="BH92" i="1"/>
  <c r="BE92" i="1"/>
  <c r="BB92" i="1"/>
  <c r="BA92" i="1"/>
  <c r="AE92" i="1"/>
  <c r="P92" i="1"/>
  <c r="L92" i="1"/>
  <c r="K92" i="1"/>
  <c r="BC91" i="1"/>
  <c r="BM91" i="1" s="1"/>
  <c r="BB91" i="1"/>
  <c r="BA91" i="1"/>
  <c r="AE91" i="1"/>
  <c r="P91" i="1"/>
  <c r="L91" i="1"/>
  <c r="K91" i="1"/>
  <c r="BC90" i="1"/>
  <c r="BM90" i="1" s="1"/>
  <c r="BA90" i="1"/>
  <c r="AE90" i="1"/>
  <c r="P90" i="1"/>
  <c r="L90" i="1"/>
  <c r="K90" i="1"/>
  <c r="BC20" i="1"/>
  <c r="BH20" i="1" s="1"/>
  <c r="BB20" i="1"/>
  <c r="BA20" i="1"/>
  <c r="AE20" i="1"/>
  <c r="P20" i="1"/>
  <c r="L20" i="1"/>
  <c r="K20" i="1"/>
  <c r="BC31" i="1"/>
  <c r="BH31" i="1" s="1"/>
  <c r="BB31" i="1"/>
  <c r="BA31" i="1"/>
  <c r="AE31" i="1"/>
  <c r="P31" i="1"/>
  <c r="L31" i="1"/>
  <c r="K31" i="1"/>
  <c r="BC67" i="1"/>
  <c r="BH67" i="1" s="1"/>
  <c r="BB67" i="1"/>
  <c r="BA67" i="1"/>
  <c r="AE67" i="1"/>
  <c r="P67" i="1"/>
  <c r="L67" i="1"/>
  <c r="K67" i="1"/>
  <c r="BC7" i="1"/>
  <c r="BM7" i="1" s="1"/>
  <c r="BB7" i="1"/>
  <c r="BA7" i="1"/>
  <c r="AE7" i="1"/>
  <c r="P7" i="1"/>
  <c r="L7" i="1"/>
  <c r="K7" i="1"/>
  <c r="BC57" i="1"/>
  <c r="BH57" i="1" s="1"/>
  <c r="BB57" i="1"/>
  <c r="BA57" i="1"/>
  <c r="AE57" i="1"/>
  <c r="P57" i="1"/>
  <c r="L57" i="1"/>
  <c r="K57" i="1"/>
  <c r="BC46" i="1"/>
  <c r="BH46" i="1" s="1"/>
  <c r="BB46" i="1"/>
  <c r="BA46" i="1"/>
  <c r="AE46" i="1"/>
  <c r="P46" i="1"/>
  <c r="L46" i="1"/>
  <c r="K46" i="1"/>
  <c r="BC44" i="1"/>
  <c r="BM44" i="1" s="1"/>
  <c r="BB44" i="1"/>
  <c r="BA44" i="1"/>
  <c r="AE44" i="1"/>
  <c r="P44" i="1"/>
  <c r="L44" i="1"/>
  <c r="K44" i="1"/>
  <c r="BC24" i="1"/>
  <c r="BB24" i="1"/>
  <c r="BA24" i="1"/>
  <c r="AE24" i="1"/>
  <c r="P24" i="1"/>
  <c r="L24" i="1"/>
  <c r="K24" i="1"/>
  <c r="BC23" i="1"/>
  <c r="BH23" i="1" s="1"/>
  <c r="BB23" i="1"/>
  <c r="BA23" i="1"/>
  <c r="AE23" i="1"/>
  <c r="P23" i="1"/>
  <c r="L23" i="1"/>
  <c r="K23" i="1"/>
  <c r="BC39" i="1"/>
  <c r="BB39" i="1"/>
  <c r="BA39" i="1"/>
  <c r="AE39" i="1"/>
  <c r="P39" i="1"/>
  <c r="L39" i="1"/>
  <c r="K39" i="1"/>
  <c r="BC41" i="1"/>
  <c r="BM41" i="1" s="1"/>
  <c r="BB41" i="1"/>
  <c r="BA41" i="1"/>
  <c r="AE41" i="1"/>
  <c r="P41" i="1"/>
  <c r="L41" i="1"/>
  <c r="K41" i="1"/>
  <c r="BC40" i="1"/>
  <c r="BM40" i="1" s="1"/>
  <c r="BB40" i="1"/>
  <c r="BA40" i="1"/>
  <c r="AE40" i="1"/>
  <c r="P40" i="1"/>
  <c r="L40" i="1"/>
  <c r="K40" i="1"/>
  <c r="BC6" i="1"/>
  <c r="BH6" i="1" s="1"/>
  <c r="BB6" i="1"/>
  <c r="BA6" i="1"/>
  <c r="AE6" i="1"/>
  <c r="P6" i="1"/>
  <c r="L6" i="1"/>
  <c r="K6" i="1"/>
  <c r="BC74" i="1"/>
  <c r="BH74" i="1" s="1"/>
  <c r="BB74" i="1"/>
  <c r="BA74" i="1"/>
  <c r="AE74" i="1"/>
  <c r="P74" i="1"/>
  <c r="L74" i="1"/>
  <c r="K74" i="1"/>
  <c r="BC59" i="1"/>
  <c r="BH59" i="1" s="1"/>
  <c r="BB59" i="1"/>
  <c r="BA59" i="1"/>
  <c r="AE59" i="1"/>
  <c r="P59" i="1"/>
  <c r="L59" i="1"/>
  <c r="K59" i="1"/>
  <c r="BC69" i="1"/>
  <c r="BM69" i="1" s="1"/>
  <c r="BB69" i="1"/>
  <c r="BA69" i="1"/>
  <c r="AE69" i="1"/>
  <c r="P69" i="1"/>
  <c r="L69" i="1"/>
  <c r="K69" i="1"/>
  <c r="BC52" i="1"/>
  <c r="BB52" i="1"/>
  <c r="BA52" i="1"/>
  <c r="AE52" i="1"/>
  <c r="P52" i="1"/>
  <c r="L52" i="1"/>
  <c r="K52" i="1"/>
  <c r="BC75" i="1"/>
  <c r="BM75" i="1" s="1"/>
  <c r="BB75" i="1"/>
  <c r="BA75" i="1"/>
  <c r="AE75" i="1"/>
  <c r="P75" i="1"/>
  <c r="L75" i="1"/>
  <c r="K75" i="1"/>
  <c r="BC13" i="1"/>
  <c r="BM13" i="1" s="1"/>
  <c r="BB13" i="1"/>
  <c r="BA13" i="1"/>
  <c r="AE13" i="1"/>
  <c r="P13" i="1"/>
  <c r="L13" i="1"/>
  <c r="K13" i="1"/>
  <c r="BC55" i="1"/>
  <c r="BM55" i="1" s="1"/>
  <c r="BB55" i="1"/>
  <c r="BA55" i="1"/>
  <c r="AE55" i="1"/>
  <c r="P55" i="1"/>
  <c r="L55" i="1"/>
  <c r="K55" i="1"/>
  <c r="BC54" i="1"/>
  <c r="BB54" i="1"/>
  <c r="BA54" i="1"/>
  <c r="AE54" i="1"/>
  <c r="P54" i="1"/>
  <c r="L54" i="1"/>
  <c r="K54" i="1"/>
  <c r="BM45" i="1"/>
  <c r="BH45" i="1"/>
  <c r="BB45" i="1"/>
  <c r="BA45" i="1"/>
  <c r="AE45" i="1"/>
  <c r="P45" i="1"/>
  <c r="L45" i="1"/>
  <c r="K45" i="1"/>
  <c r="BC89" i="1"/>
  <c r="BM89" i="1" s="1"/>
  <c r="BB89" i="1"/>
  <c r="BA89" i="1"/>
  <c r="AE89" i="1"/>
  <c r="P89" i="1"/>
  <c r="L89" i="1"/>
  <c r="K89" i="1"/>
  <c r="BC68" i="1"/>
  <c r="BB68" i="1"/>
  <c r="BA68" i="1"/>
  <c r="AE68" i="1"/>
  <c r="P68" i="1"/>
  <c r="L68" i="1"/>
  <c r="K68" i="1"/>
  <c r="BC64" i="1"/>
  <c r="BM64" i="1" s="1"/>
  <c r="BB64" i="1"/>
  <c r="BA64" i="1"/>
  <c r="AE64" i="1"/>
  <c r="P64" i="1"/>
  <c r="L64" i="1"/>
  <c r="K64" i="1"/>
  <c r="BC47" i="1"/>
  <c r="BM47" i="1" s="1"/>
  <c r="BB47" i="1"/>
  <c r="BA47" i="1"/>
  <c r="AE47" i="1"/>
  <c r="P47" i="1"/>
  <c r="L47" i="1"/>
  <c r="K47" i="1"/>
  <c r="BC25" i="1"/>
  <c r="BM25" i="1" s="1"/>
  <c r="BB25" i="1"/>
  <c r="BA25" i="1"/>
  <c r="AE25" i="1"/>
  <c r="P25" i="1"/>
  <c r="L25" i="1"/>
  <c r="K25" i="1"/>
  <c r="BC26" i="1"/>
  <c r="BB26" i="1"/>
  <c r="BA26" i="1"/>
  <c r="AE26" i="1"/>
  <c r="P26" i="1"/>
  <c r="L26" i="1"/>
  <c r="K26" i="1"/>
  <c r="BC56" i="1"/>
  <c r="BB56" i="1"/>
  <c r="BA56" i="1"/>
  <c r="AE56" i="1"/>
  <c r="P56" i="1"/>
  <c r="L56" i="1"/>
  <c r="K56" i="1"/>
  <c r="BD86" i="1"/>
  <c r="BP86" i="1" s="1"/>
  <c r="BC86" i="1"/>
  <c r="BH86" i="1" s="1"/>
  <c r="BB86" i="1"/>
  <c r="BA86" i="1"/>
  <c r="AE86" i="1"/>
  <c r="P86" i="1"/>
  <c r="L86" i="1"/>
  <c r="K86" i="1"/>
  <c r="BD93" i="1"/>
  <c r="BP93" i="1" s="1"/>
  <c r="BC93" i="1"/>
  <c r="BM93" i="1" s="1"/>
  <c r="BB93" i="1"/>
  <c r="BA93" i="1"/>
  <c r="AE93" i="1"/>
  <c r="P93" i="1"/>
  <c r="L93" i="1"/>
  <c r="K93" i="1"/>
  <c r="BD88" i="1"/>
  <c r="BP88" i="1" s="1"/>
  <c r="BB88" i="1"/>
  <c r="BA88" i="1"/>
  <c r="AE88" i="1"/>
  <c r="P88" i="1"/>
  <c r="L88" i="1"/>
  <c r="K88" i="1"/>
  <c r="BD85" i="1"/>
  <c r="BP85" i="1" s="1"/>
  <c r="BC85" i="1"/>
  <c r="BH85" i="1" s="1"/>
  <c r="BB85" i="1"/>
  <c r="BA85" i="1"/>
  <c r="AE85" i="1"/>
  <c r="P85" i="1"/>
  <c r="L85" i="1"/>
  <c r="K85" i="1"/>
  <c r="BC81" i="1"/>
  <c r="BH81" i="1" s="1"/>
  <c r="BB81" i="1"/>
  <c r="BA81" i="1"/>
  <c r="AE81" i="1"/>
  <c r="P81" i="1"/>
  <c r="L81" i="1"/>
  <c r="K81" i="1"/>
  <c r="BC76" i="1"/>
  <c r="BM76" i="1" s="1"/>
  <c r="BB76" i="1"/>
  <c r="BA76" i="1"/>
  <c r="AE76" i="1"/>
  <c r="P76" i="1"/>
  <c r="L76" i="1"/>
  <c r="K76" i="1"/>
  <c r="BC30" i="1"/>
  <c r="BB30" i="1"/>
  <c r="BA30" i="1"/>
  <c r="AE30" i="1"/>
  <c r="P30" i="1"/>
  <c r="L30" i="1"/>
  <c r="K30" i="1"/>
  <c r="BC82" i="1"/>
  <c r="BH82" i="1" s="1"/>
  <c r="BB82" i="1"/>
  <c r="BA82" i="1"/>
  <c r="AE82" i="1"/>
  <c r="P82" i="1"/>
  <c r="L82" i="1"/>
  <c r="K82" i="1"/>
  <c r="BC21" i="1"/>
  <c r="BM21" i="1" s="1"/>
  <c r="BB21" i="1"/>
  <c r="BA21" i="1"/>
  <c r="AE21" i="1"/>
  <c r="P21" i="1"/>
  <c r="L21" i="1"/>
  <c r="K21" i="1"/>
  <c r="BC28" i="1"/>
  <c r="BM28" i="1" s="1"/>
  <c r="BB28" i="1"/>
  <c r="BA28" i="1"/>
  <c r="AE28" i="1"/>
  <c r="P28" i="1"/>
  <c r="L28" i="1"/>
  <c r="K28" i="1"/>
  <c r="BC9" i="1"/>
  <c r="BB9" i="1"/>
  <c r="BA9" i="1"/>
  <c r="AE9" i="1"/>
  <c r="P9" i="1"/>
  <c r="L9" i="1"/>
  <c r="K9" i="1"/>
  <c r="BC83" i="1"/>
  <c r="BH83" i="1" s="1"/>
  <c r="BB83" i="1"/>
  <c r="BA83" i="1"/>
  <c r="AE83" i="1"/>
  <c r="P83" i="1"/>
  <c r="L83" i="1"/>
  <c r="K83" i="1"/>
  <c r="BC65" i="1"/>
  <c r="BM65" i="1" s="1"/>
  <c r="BB65" i="1"/>
  <c r="BA65" i="1"/>
  <c r="AE65" i="1"/>
  <c r="P65" i="1"/>
  <c r="L65" i="1"/>
  <c r="K65" i="1"/>
  <c r="BC3" i="1"/>
  <c r="BM3" i="1" s="1"/>
  <c r="BB3" i="1"/>
  <c r="BA3" i="1"/>
  <c r="AE3" i="1"/>
  <c r="P3" i="1"/>
  <c r="L3" i="1"/>
  <c r="K3" i="1"/>
  <c r="BC71" i="1"/>
  <c r="BB71" i="1"/>
  <c r="BA71" i="1"/>
  <c r="AE71" i="1"/>
  <c r="P71" i="1"/>
  <c r="L71" i="1"/>
  <c r="K71" i="1"/>
  <c r="BC35" i="1"/>
  <c r="BH35" i="1" s="1"/>
  <c r="BB35" i="1"/>
  <c r="BA35" i="1"/>
  <c r="AE35" i="1"/>
  <c r="P35" i="1"/>
  <c r="L35" i="1"/>
  <c r="K35" i="1"/>
  <c r="BC22" i="1"/>
  <c r="BH22" i="1" s="1"/>
  <c r="BB22" i="1"/>
  <c r="BA22" i="1"/>
  <c r="AE22" i="1"/>
  <c r="P22" i="1"/>
  <c r="L22" i="1"/>
  <c r="K22" i="1"/>
  <c r="BC61" i="1"/>
  <c r="BM61" i="1" s="1"/>
  <c r="BB61" i="1"/>
  <c r="BA61" i="1"/>
  <c r="AE61" i="1"/>
  <c r="P61" i="1"/>
  <c r="L61" i="1"/>
  <c r="K61" i="1"/>
  <c r="BC19" i="1"/>
  <c r="BB19" i="1"/>
  <c r="BA19" i="1"/>
  <c r="AE19" i="1"/>
  <c r="P19" i="1"/>
  <c r="L19" i="1"/>
  <c r="K19" i="1"/>
  <c r="BC66" i="1"/>
  <c r="BB66" i="1"/>
  <c r="BK66" i="1"/>
  <c r="AE66" i="1"/>
  <c r="P66" i="1"/>
  <c r="L66" i="1"/>
  <c r="K66" i="1"/>
  <c r="BC18" i="1"/>
  <c r="BM18" i="1" s="1"/>
  <c r="BB18" i="1"/>
  <c r="BA18" i="1"/>
  <c r="AE18" i="1"/>
  <c r="P18" i="1"/>
  <c r="L18" i="1"/>
  <c r="K18" i="1"/>
  <c r="BC53" i="1"/>
  <c r="BM53" i="1" s="1"/>
  <c r="BB53" i="1"/>
  <c r="BA53" i="1"/>
  <c r="AE53" i="1"/>
  <c r="P53" i="1"/>
  <c r="L53" i="1"/>
  <c r="K53" i="1"/>
  <c r="BC43" i="1"/>
  <c r="BH43" i="1" s="1"/>
  <c r="BB43" i="1"/>
  <c r="BA43" i="1"/>
  <c r="AE43" i="1"/>
  <c r="P43" i="1"/>
  <c r="L43" i="1"/>
  <c r="K43" i="1"/>
  <c r="BC12" i="1"/>
  <c r="BM12" i="1" s="1"/>
  <c r="BB12" i="1"/>
  <c r="BA12" i="1"/>
  <c r="AE12" i="1"/>
  <c r="P12" i="1"/>
  <c r="L12" i="1"/>
  <c r="K12" i="1"/>
  <c r="BC60" i="1"/>
  <c r="BB60" i="1"/>
  <c r="BA60" i="1"/>
  <c r="AE60" i="1"/>
  <c r="P60" i="1"/>
  <c r="L60" i="1"/>
  <c r="K60" i="1"/>
  <c r="BC38" i="1"/>
  <c r="BM38" i="1" s="1"/>
  <c r="BB38" i="1"/>
  <c r="BA38" i="1"/>
  <c r="AE38" i="1"/>
  <c r="P38" i="1"/>
  <c r="L38" i="1"/>
  <c r="K38" i="1"/>
  <c r="BC62" i="1"/>
  <c r="BH62" i="1" s="1"/>
  <c r="BB62" i="1"/>
  <c r="BA62" i="1"/>
  <c r="AE62" i="1"/>
  <c r="P62" i="1"/>
  <c r="L62" i="1"/>
  <c r="K62" i="1"/>
  <c r="BC32" i="1"/>
  <c r="BM32" i="1" s="1"/>
  <c r="BB32" i="1"/>
  <c r="BK32" i="1"/>
  <c r="AE32" i="1"/>
  <c r="P32" i="1"/>
  <c r="L32" i="1"/>
  <c r="K32" i="1"/>
  <c r="BC73" i="1"/>
  <c r="BB73" i="1"/>
  <c r="BA73" i="1"/>
  <c r="AE73" i="1"/>
  <c r="P73" i="1"/>
  <c r="L73" i="1"/>
  <c r="K73" i="1"/>
  <c r="BC51" i="1"/>
  <c r="BM51" i="1" s="1"/>
  <c r="BB51" i="1"/>
  <c r="BA51" i="1"/>
  <c r="AE51" i="1"/>
  <c r="P51" i="1"/>
  <c r="L51" i="1"/>
  <c r="K51" i="1"/>
  <c r="BC17" i="1"/>
  <c r="BH17" i="1" s="1"/>
  <c r="BB17" i="1"/>
  <c r="BA17" i="1"/>
  <c r="AE17" i="1"/>
  <c r="P17" i="1"/>
  <c r="L17" i="1"/>
  <c r="K17" i="1"/>
  <c r="BM80" i="1"/>
  <c r="BH80" i="1"/>
  <c r="BB80" i="1"/>
  <c r="BA80" i="1"/>
  <c r="AE80" i="1"/>
  <c r="P80" i="1"/>
  <c r="L80" i="1"/>
  <c r="K80" i="1"/>
  <c r="BC58" i="1"/>
  <c r="BM58" i="1" s="1"/>
  <c r="BB58" i="1"/>
  <c r="BK58" i="1"/>
  <c r="AE58" i="1"/>
  <c r="P58" i="1"/>
  <c r="L58" i="1"/>
  <c r="K58" i="1"/>
  <c r="BC87" i="1"/>
  <c r="BH87" i="1" s="1"/>
  <c r="BB87" i="1"/>
  <c r="BA87" i="1"/>
  <c r="AE87" i="1"/>
  <c r="P87" i="1"/>
  <c r="L87" i="1"/>
  <c r="K87" i="1"/>
  <c r="BC5" i="1"/>
  <c r="BM5" i="1" s="1"/>
  <c r="BB5" i="1"/>
  <c r="BK5" i="1"/>
  <c r="AE5" i="1"/>
  <c r="P5" i="1"/>
  <c r="L5" i="1"/>
  <c r="K5" i="1"/>
  <c r="BC8" i="1"/>
  <c r="BB8" i="1"/>
  <c r="BF8" i="1"/>
  <c r="AE8" i="1"/>
  <c r="P8" i="1"/>
  <c r="L8" i="1"/>
  <c r="K8" i="1"/>
  <c r="BC63" i="1"/>
  <c r="BM63" i="1" s="1"/>
  <c r="BB63" i="1"/>
  <c r="BF63" i="1"/>
  <c r="AE63" i="1"/>
  <c r="P63" i="1"/>
  <c r="L63" i="1"/>
  <c r="K63" i="1"/>
  <c r="BC10" i="1"/>
  <c r="BH10" i="1" s="1"/>
  <c r="BB10" i="1"/>
  <c r="AE10" i="1"/>
  <c r="P10" i="1"/>
  <c r="L10" i="1"/>
  <c r="K10" i="1"/>
  <c r="BC11" i="1"/>
  <c r="BM11" i="1" s="1"/>
  <c r="BB11" i="1"/>
  <c r="BK11" i="1"/>
  <c r="AE11" i="1"/>
  <c r="P11" i="1"/>
  <c r="L11" i="1"/>
  <c r="K11" i="1"/>
  <c r="BM72" i="1"/>
  <c r="BJ72" i="1"/>
  <c r="BH72" i="1"/>
  <c r="BE72" i="1"/>
  <c r="BB72" i="1"/>
  <c r="BA72" i="1"/>
  <c r="AE72" i="1"/>
  <c r="P72" i="1"/>
  <c r="L72" i="1"/>
  <c r="K72" i="1"/>
  <c r="BM77" i="1"/>
  <c r="BJ77" i="1"/>
  <c r="BH77" i="1"/>
  <c r="BE77" i="1"/>
  <c r="BB77" i="1"/>
  <c r="BA77" i="1"/>
  <c r="AE77" i="1"/>
  <c r="P77" i="1"/>
  <c r="L77" i="1"/>
  <c r="K77" i="1"/>
  <c r="BM79" i="1"/>
  <c r="BL79" i="1"/>
  <c r="BJ79" i="1"/>
  <c r="BH79" i="1"/>
  <c r="BG79" i="1"/>
  <c r="BE79" i="1"/>
  <c r="BA79" i="1"/>
  <c r="AE79" i="1"/>
  <c r="P79" i="1"/>
  <c r="L79" i="1"/>
  <c r="K79" i="1"/>
  <c r="BC16" i="1"/>
  <c r="BM16" i="1" s="1"/>
  <c r="BB16" i="1"/>
  <c r="BK16" i="1"/>
  <c r="AE16" i="1"/>
  <c r="T16" i="1"/>
  <c r="P16" i="1"/>
  <c r="L16" i="1"/>
  <c r="K16" i="1"/>
  <c r="BM70" i="1"/>
  <c r="BL70" i="1"/>
  <c r="BJ70" i="1"/>
  <c r="BH70" i="1"/>
  <c r="BG70" i="1"/>
  <c r="BE70" i="1"/>
  <c r="BA70" i="1"/>
  <c r="AE70" i="1"/>
  <c r="P70" i="1"/>
  <c r="L70" i="1"/>
  <c r="K70" i="1"/>
  <c r="BC49" i="1"/>
  <c r="BB49" i="1"/>
  <c r="BF49" i="1"/>
  <c r="AE49" i="1"/>
  <c r="P49" i="1"/>
  <c r="L49" i="1"/>
  <c r="K49" i="1"/>
  <c r="BO36" i="1"/>
  <c r="BC36" i="1"/>
  <c r="BM36" i="1" s="1"/>
  <c r="BB36" i="1"/>
  <c r="BF36" i="1"/>
  <c r="AE36" i="1"/>
  <c r="P36" i="1"/>
  <c r="L36" i="1"/>
  <c r="K36" i="1"/>
  <c r="BC29" i="1"/>
  <c r="BH29" i="1" s="1"/>
  <c r="BB29" i="1"/>
  <c r="BA29" i="1"/>
  <c r="AE29" i="1"/>
  <c r="P29" i="1"/>
  <c r="L29" i="1"/>
  <c r="K29" i="1"/>
  <c r="BC15" i="1"/>
  <c r="BH15" i="1" s="1"/>
  <c r="BB15" i="1"/>
  <c r="AE15" i="1"/>
  <c r="P15" i="1"/>
  <c r="L15" i="1"/>
  <c r="K15" i="1"/>
  <c r="BC50" i="1"/>
  <c r="BM50" i="1" s="1"/>
  <c r="BB50" i="1"/>
  <c r="BF50" i="1"/>
  <c r="AE50" i="1"/>
  <c r="P50" i="1"/>
  <c r="L50" i="1"/>
  <c r="K50" i="1"/>
  <c r="BC84" i="1"/>
  <c r="BB84" i="1"/>
  <c r="BK84" i="1"/>
  <c r="AE84" i="1"/>
  <c r="P84" i="1"/>
  <c r="L84" i="1"/>
  <c r="K84" i="1"/>
  <c r="K30" i="2"/>
  <c r="I30" i="2"/>
  <c r="G30" i="2"/>
  <c r="E30" i="2"/>
  <c r="C30" i="2"/>
  <c r="J18" i="2"/>
  <c r="J17" i="2"/>
  <c r="H17" i="2"/>
  <c r="H18" i="2" s="1"/>
  <c r="J14" i="2"/>
  <c r="H14" i="2"/>
  <c r="F14" i="2"/>
  <c r="D14" i="2"/>
  <c r="B14" i="2"/>
  <c r="J11" i="2"/>
  <c r="H11" i="2"/>
  <c r="F11" i="2"/>
  <c r="D11" i="2"/>
  <c r="B11" i="2"/>
  <c r="J10" i="2"/>
  <c r="H10" i="2"/>
  <c r="F10" i="2"/>
  <c r="D10" i="2"/>
  <c r="B10" i="2"/>
  <c r="J9" i="2"/>
  <c r="H9" i="2"/>
  <c r="F9" i="2"/>
  <c r="D9" i="2"/>
  <c r="B9" i="2"/>
  <c r="J8" i="2"/>
  <c r="H8" i="2"/>
  <c r="F8" i="2"/>
  <c r="F12" i="2" s="1"/>
  <c r="F30" i="2" s="1"/>
  <c r="D8" i="2"/>
  <c r="B8" i="2"/>
  <c r="J7" i="2"/>
  <c r="H7" i="2"/>
  <c r="H12" i="2" s="1"/>
  <c r="H30" i="2" s="1"/>
  <c r="F7" i="2"/>
  <c r="D7" i="2"/>
  <c r="B7" i="2"/>
  <c r="BI93" i="1" l="1"/>
  <c r="BN93" i="1"/>
  <c r="BI85" i="1"/>
  <c r="BN85" i="1"/>
  <c r="BN88" i="1"/>
  <c r="BI88" i="1"/>
  <c r="BI86" i="1"/>
  <c r="BN86" i="1"/>
  <c r="BG16" i="1"/>
  <c r="BL52" i="1"/>
  <c r="BL69" i="1"/>
  <c r="BG59" i="1"/>
  <c r="BG74" i="1"/>
  <c r="BG39" i="1"/>
  <c r="BL23" i="1"/>
  <c r="BL24" i="1"/>
  <c r="BG67" i="1"/>
  <c r="BG31" i="1"/>
  <c r="BL20" i="1"/>
  <c r="BL90" i="1"/>
  <c r="BG91" i="1"/>
  <c r="BL92" i="1"/>
  <c r="BG15" i="1"/>
  <c r="BL10" i="1"/>
  <c r="BG8" i="1"/>
  <c r="BG5" i="1"/>
  <c r="BL87" i="1"/>
  <c r="BG80" i="1"/>
  <c r="BG4" i="1"/>
  <c r="BL14" i="1"/>
  <c r="BL37" i="1"/>
  <c r="BG33" i="1"/>
  <c r="BG27" i="1"/>
  <c r="BL77" i="1"/>
  <c r="BL54" i="1"/>
  <c r="BG55" i="1"/>
  <c r="BL40" i="1"/>
  <c r="BG46" i="1"/>
  <c r="BL84" i="1"/>
  <c r="BG50" i="1"/>
  <c r="BL49" i="1"/>
  <c r="BL72" i="1"/>
  <c r="BG11" i="1"/>
  <c r="BL17" i="1"/>
  <c r="BL73" i="1"/>
  <c r="BG32" i="1"/>
  <c r="BL62" i="1"/>
  <c r="BL60" i="1"/>
  <c r="BG12" i="1"/>
  <c r="BL43" i="1"/>
  <c r="BG18" i="1"/>
  <c r="BL19" i="1"/>
  <c r="BG61" i="1"/>
  <c r="BG22" i="1"/>
  <c r="BG3" i="1"/>
  <c r="BL65" i="1"/>
  <c r="BL9" i="1"/>
  <c r="BL28" i="1"/>
  <c r="BG21" i="1"/>
  <c r="BL30" i="1"/>
  <c r="BL76" i="1"/>
  <c r="BL81" i="1"/>
  <c r="BL88" i="1"/>
  <c r="BL93" i="1"/>
  <c r="BG86" i="1"/>
  <c r="BL26" i="1"/>
  <c r="BG25" i="1"/>
  <c r="BG47" i="1"/>
  <c r="BL68" i="1"/>
  <c r="BG89" i="1"/>
  <c r="BG45" i="1"/>
  <c r="BL78" i="1"/>
  <c r="BL34" i="1"/>
  <c r="BO61" i="1"/>
  <c r="T53" i="1"/>
  <c r="BO53" i="1"/>
  <c r="T61" i="1"/>
  <c r="T8" i="1"/>
  <c r="BO28" i="1"/>
  <c r="T44" i="1"/>
  <c r="BO20" i="1"/>
  <c r="T4" i="1"/>
  <c r="T32" i="1"/>
  <c r="T12" i="1"/>
  <c r="T68" i="1"/>
  <c r="BO52" i="1"/>
  <c r="T40" i="1"/>
  <c r="BO24" i="1"/>
  <c r="T84" i="1"/>
  <c r="T36" i="1"/>
  <c r="BO16" i="1"/>
  <c r="BO4" i="1"/>
  <c r="T48" i="1"/>
  <c r="T72" i="1"/>
  <c r="BO60" i="1"/>
  <c r="T76" i="1"/>
  <c r="BO64" i="1"/>
  <c r="T92" i="1"/>
  <c r="BO8" i="1"/>
  <c r="T80" i="1"/>
  <c r="BO32" i="1"/>
  <c r="T60" i="1"/>
  <c r="BO12" i="1"/>
  <c r="T28" i="1"/>
  <c r="BO88" i="1"/>
  <c r="T56" i="1"/>
  <c r="T52" i="1"/>
  <c r="BO40" i="1"/>
  <c r="T24" i="1"/>
  <c r="BO44" i="1"/>
  <c r="T20" i="1"/>
  <c r="BO38" i="1"/>
  <c r="T22" i="1"/>
  <c r="BO84" i="1"/>
  <c r="BO72" i="1"/>
  <c r="BO80" i="1"/>
  <c r="BO76" i="1"/>
  <c r="T88" i="1"/>
  <c r="BO56" i="1"/>
  <c r="T64" i="1"/>
  <c r="BO68" i="1"/>
  <c r="BO92" i="1"/>
  <c r="T62" i="1"/>
  <c r="BO54" i="1"/>
  <c r="T46" i="1"/>
  <c r="BO22" i="1"/>
  <c r="T50" i="1"/>
  <c r="BO30" i="1"/>
  <c r="T86" i="1"/>
  <c r="T26" i="1"/>
  <c r="BO50" i="1"/>
  <c r="BO82" i="1"/>
  <c r="T30" i="1"/>
  <c r="BO86" i="1"/>
  <c r="BO26" i="1"/>
  <c r="BO90" i="1"/>
  <c r="BO62" i="1"/>
  <c r="T38" i="1"/>
  <c r="T54" i="1"/>
  <c r="BO46" i="1"/>
  <c r="T78" i="1"/>
  <c r="BF77" i="1"/>
  <c r="BF72" i="1"/>
  <c r="BF53" i="1"/>
  <c r="BK85" i="1"/>
  <c r="BK25" i="1"/>
  <c r="BK45" i="1"/>
  <c r="BF70" i="1"/>
  <c r="BK51" i="1"/>
  <c r="BF73" i="1"/>
  <c r="BF19" i="1"/>
  <c r="BF71" i="1"/>
  <c r="BF3" i="1"/>
  <c r="BK83" i="1"/>
  <c r="BF9" i="1"/>
  <c r="BF30" i="1"/>
  <c r="BK56" i="1"/>
  <c r="BK64" i="1"/>
  <c r="BK69" i="1"/>
  <c r="BK74" i="1"/>
  <c r="BF6" i="1"/>
  <c r="BF57" i="1"/>
  <c r="BF7" i="1"/>
  <c r="BF67" i="1"/>
  <c r="BK31" i="1"/>
  <c r="BK92" i="1"/>
  <c r="BK34" i="1"/>
  <c r="BF42" i="1"/>
  <c r="BF24" i="1"/>
  <c r="BF38" i="1"/>
  <c r="BK93" i="1"/>
  <c r="BK54" i="1"/>
  <c r="BK40" i="1"/>
  <c r="BF44" i="1"/>
  <c r="BF20" i="1"/>
  <c r="BF78" i="1"/>
  <c r="BK4" i="1"/>
  <c r="BK79" i="1"/>
  <c r="BF60" i="1"/>
  <c r="BK12" i="1"/>
  <c r="BF61" i="1"/>
  <c r="BK29" i="1"/>
  <c r="BK80" i="1"/>
  <c r="BK82" i="1"/>
  <c r="BF76" i="1"/>
  <c r="BK26" i="1"/>
  <c r="BK68" i="1"/>
  <c r="BF55" i="1"/>
  <c r="BF41" i="1"/>
  <c r="BK39" i="1"/>
  <c r="BF90" i="1"/>
  <c r="BF14" i="1"/>
  <c r="BF37" i="1"/>
  <c r="BF33" i="1"/>
  <c r="BF89" i="1"/>
  <c r="BF52" i="1"/>
  <c r="BF91" i="1"/>
  <c r="BK48" i="1"/>
  <c r="T90" i="1"/>
  <c r="BO78" i="1"/>
  <c r="T79" i="1"/>
  <c r="AN79" i="1"/>
  <c r="BO75" i="1"/>
  <c r="AN75" i="1"/>
  <c r="T71" i="1"/>
  <c r="AN71" i="1"/>
  <c r="BO59" i="1"/>
  <c r="AN59" i="1"/>
  <c r="BO55" i="1"/>
  <c r="AN55" i="1"/>
  <c r="BO39" i="1"/>
  <c r="AN39" i="1"/>
  <c r="BO35" i="1"/>
  <c r="AN35" i="1"/>
  <c r="BO23" i="1"/>
  <c r="AN23" i="1"/>
  <c r="AO23" i="1" s="1"/>
  <c r="BO15" i="1"/>
  <c r="AN15" i="1"/>
  <c r="BO3" i="1"/>
  <c r="AN3" i="1"/>
  <c r="AO3" i="1" s="1"/>
  <c r="BO74" i="1"/>
  <c r="AN74" i="1"/>
  <c r="AS74" i="1" s="1"/>
  <c r="T70" i="1"/>
  <c r="AN70" i="1"/>
  <c r="AO70" i="1" s="1"/>
  <c r="BO66" i="1"/>
  <c r="AN66" i="1"/>
  <c r="AS66" i="1" s="1"/>
  <c r="BO58" i="1"/>
  <c r="AN58" i="1"/>
  <c r="AO58" i="1" s="1"/>
  <c r="BO42" i="1"/>
  <c r="AN42" i="1"/>
  <c r="AS42" i="1" s="1"/>
  <c r="BO34" i="1"/>
  <c r="AN34" i="1"/>
  <c r="AO34" i="1" s="1"/>
  <c r="BO18" i="1"/>
  <c r="AN18" i="1"/>
  <c r="AO18" i="1" s="1"/>
  <c r="BO14" i="1"/>
  <c r="AN14" i="1"/>
  <c r="AO14" i="1" s="1"/>
  <c r="BO10" i="1"/>
  <c r="AN10" i="1"/>
  <c r="AS10" i="1" s="1"/>
  <c r="BO6" i="1"/>
  <c r="AN6" i="1"/>
  <c r="AO6" i="1" s="1"/>
  <c r="BH12" i="1"/>
  <c r="T82" i="1"/>
  <c r="BO93" i="1"/>
  <c r="AN93" i="1"/>
  <c r="T89" i="1"/>
  <c r="AN89" i="1"/>
  <c r="BO85" i="1"/>
  <c r="AN85" i="1"/>
  <c r="BO81" i="1"/>
  <c r="AN81" i="1"/>
  <c r="T77" i="1"/>
  <c r="AN77" i="1"/>
  <c r="BO73" i="1"/>
  <c r="AN73" i="1"/>
  <c r="BO69" i="1"/>
  <c r="AN69" i="1"/>
  <c r="BO65" i="1"/>
  <c r="AN65" i="1"/>
  <c r="BO57" i="1"/>
  <c r="AN57" i="1"/>
  <c r="AS57" i="1" s="1"/>
  <c r="BO49" i="1"/>
  <c r="AN49" i="1"/>
  <c r="AS49" i="1" s="1"/>
  <c r="BO45" i="1"/>
  <c r="AN45" i="1"/>
  <c r="AS45" i="1" s="1"/>
  <c r="BO41" i="1"/>
  <c r="AN41" i="1"/>
  <c r="AO41" i="1" s="1"/>
  <c r="BO29" i="1"/>
  <c r="AN29" i="1"/>
  <c r="AS29" i="1" s="1"/>
  <c r="BO17" i="1"/>
  <c r="AN17" i="1"/>
  <c r="BO9" i="1"/>
  <c r="AN9" i="1"/>
  <c r="AO9" i="1" s="1"/>
  <c r="AO90" i="1"/>
  <c r="AS90" i="1"/>
  <c r="AO86" i="1"/>
  <c r="AS86" i="1"/>
  <c r="AO82" i="1"/>
  <c r="AS82" i="1"/>
  <c r="AO78" i="1"/>
  <c r="AS78" i="1"/>
  <c r="AO62" i="1"/>
  <c r="AS62" i="1"/>
  <c r="AO54" i="1"/>
  <c r="AS54" i="1"/>
  <c r="AO50" i="1"/>
  <c r="AS50" i="1"/>
  <c r="AO46" i="1"/>
  <c r="AS46" i="1"/>
  <c r="AO38" i="1"/>
  <c r="AS38" i="1"/>
  <c r="AO30" i="1"/>
  <c r="AS30" i="1"/>
  <c r="AO26" i="1"/>
  <c r="AS26" i="1"/>
  <c r="AO22" i="1"/>
  <c r="AS22" i="1"/>
  <c r="AR84" i="1"/>
  <c r="AP84" i="1"/>
  <c r="AQ84" i="1"/>
  <c r="BE84" i="1"/>
  <c r="AR50" i="1"/>
  <c r="AQ50" i="1"/>
  <c r="AP50" i="1"/>
  <c r="AP15" i="1"/>
  <c r="AQ15" i="1"/>
  <c r="AR15" i="1"/>
  <c r="BE29" i="1"/>
  <c r="AR16" i="1"/>
  <c r="AQ16" i="1"/>
  <c r="AP16" i="1"/>
  <c r="AP79" i="1"/>
  <c r="AQ79" i="1"/>
  <c r="AR79" i="1"/>
  <c r="AR77" i="1"/>
  <c r="AQ77" i="1"/>
  <c r="AP77" i="1"/>
  <c r="BE63" i="1"/>
  <c r="AR8" i="1"/>
  <c r="AQ8" i="1"/>
  <c r="AP8" i="1"/>
  <c r="BJ8" i="1"/>
  <c r="AQ5" i="1"/>
  <c r="AR5" i="1"/>
  <c r="AP5" i="1"/>
  <c r="BJ73" i="1"/>
  <c r="AQ38" i="1"/>
  <c r="AR38" i="1"/>
  <c r="AP38" i="1"/>
  <c r="BE38" i="1"/>
  <c r="AR60" i="1"/>
  <c r="AP60" i="1"/>
  <c r="AQ60" i="1"/>
  <c r="AQ61" i="1"/>
  <c r="AR61" i="1"/>
  <c r="AP61" i="1"/>
  <c r="AP71" i="1"/>
  <c r="AQ71" i="1"/>
  <c r="AR71" i="1"/>
  <c r="AR81" i="1"/>
  <c r="AQ81" i="1"/>
  <c r="AP81" i="1"/>
  <c r="BE85" i="1"/>
  <c r="AR56" i="1"/>
  <c r="AQ56" i="1"/>
  <c r="AP56" i="1"/>
  <c r="AR26" i="1"/>
  <c r="AQ26" i="1"/>
  <c r="AP26" i="1"/>
  <c r="AQ45" i="1"/>
  <c r="AR45" i="1"/>
  <c r="AP45" i="1"/>
  <c r="AQ13" i="1"/>
  <c r="AR13" i="1"/>
  <c r="AP13" i="1"/>
  <c r="BJ75" i="1"/>
  <c r="AR52" i="1"/>
  <c r="AQ52" i="1"/>
  <c r="AP52" i="1"/>
  <c r="AO92" i="1"/>
  <c r="AS92" i="1"/>
  <c r="AO91" i="1"/>
  <c r="AS91" i="1"/>
  <c r="AO47" i="1"/>
  <c r="AS47" i="1"/>
  <c r="BJ60" i="1"/>
  <c r="AR12" i="1"/>
  <c r="AQ12" i="1"/>
  <c r="AP12" i="1"/>
  <c r="AQ9" i="1"/>
  <c r="AR9" i="1"/>
  <c r="AP9" i="1"/>
  <c r="AQ82" i="1"/>
  <c r="AR82" i="1"/>
  <c r="AP82" i="1"/>
  <c r="AQ30" i="1"/>
  <c r="AR30" i="1"/>
  <c r="AP30" i="1"/>
  <c r="BE30" i="1"/>
  <c r="AR76" i="1"/>
  <c r="AQ76" i="1"/>
  <c r="AP76" i="1"/>
  <c r="AQ86" i="1"/>
  <c r="AP86" i="1"/>
  <c r="AR86" i="1"/>
  <c r="BE56" i="1"/>
  <c r="AQ25" i="1"/>
  <c r="AR25" i="1"/>
  <c r="AP25" i="1"/>
  <c r="BE52" i="1"/>
  <c r="AQ69" i="1"/>
  <c r="AR69" i="1"/>
  <c r="AP69" i="1"/>
  <c r="AP39" i="1"/>
  <c r="AR39" i="1"/>
  <c r="AQ39" i="1"/>
  <c r="AS23" i="1"/>
  <c r="AR24" i="1"/>
  <c r="AP24" i="1"/>
  <c r="AQ24" i="1"/>
  <c r="BE24" i="1"/>
  <c r="AR44" i="1"/>
  <c r="AP44" i="1"/>
  <c r="AQ44" i="1"/>
  <c r="AP46" i="1"/>
  <c r="AR46" i="1"/>
  <c r="AQ46" i="1"/>
  <c r="BE46" i="1"/>
  <c r="AQ57" i="1"/>
  <c r="AR57" i="1"/>
  <c r="AP57" i="1"/>
  <c r="BE37" i="1"/>
  <c r="AR27" i="1"/>
  <c r="AQ27" i="1"/>
  <c r="AP27" i="1"/>
  <c r="AO48" i="1"/>
  <c r="AS48" i="1"/>
  <c r="AO83" i="1"/>
  <c r="AS83" i="1"/>
  <c r="AO7" i="1"/>
  <c r="AS7" i="1"/>
  <c r="AO87" i="1"/>
  <c r="AS87" i="1"/>
  <c r="AO63" i="1"/>
  <c r="AS63" i="1"/>
  <c r="AO51" i="1"/>
  <c r="AS51" i="1"/>
  <c r="AO27" i="1"/>
  <c r="AS27" i="1"/>
  <c r="AO19" i="1"/>
  <c r="AS19" i="1"/>
  <c r="AQ70" i="1"/>
  <c r="AR70" i="1"/>
  <c r="AP70" i="1"/>
  <c r="BJ10" i="1"/>
  <c r="AP87" i="1"/>
  <c r="AQ87" i="1"/>
  <c r="AR87" i="1"/>
  <c r="BE17" i="1"/>
  <c r="AR51" i="1"/>
  <c r="AP51" i="1"/>
  <c r="AQ51" i="1"/>
  <c r="AR43" i="1"/>
  <c r="AQ43" i="1"/>
  <c r="AP43" i="1"/>
  <c r="AR18" i="1"/>
  <c r="AQ18" i="1"/>
  <c r="AP18" i="1"/>
  <c r="BJ66" i="1"/>
  <c r="AR19" i="1"/>
  <c r="AP19" i="1"/>
  <c r="AQ19" i="1"/>
  <c r="BO19" i="1"/>
  <c r="BE35" i="1"/>
  <c r="BE83" i="1"/>
  <c r="AO64" i="1"/>
  <c r="AS64" i="1"/>
  <c r="AR75" i="1"/>
  <c r="AP75" i="1"/>
  <c r="AQ75" i="1"/>
  <c r="AO40" i="1"/>
  <c r="AS40" i="1"/>
  <c r="BE7" i="1"/>
  <c r="AR67" i="1"/>
  <c r="AP67" i="1"/>
  <c r="AQ67" i="1"/>
  <c r="BJ91" i="1"/>
  <c r="AR92" i="1"/>
  <c r="AQ92" i="1"/>
  <c r="AP92" i="1"/>
  <c r="AO4" i="1"/>
  <c r="AS4" i="1"/>
  <c r="AR48" i="1"/>
  <c r="AQ48" i="1"/>
  <c r="AP48" i="1"/>
  <c r="BE48" i="1"/>
  <c r="BE34" i="1"/>
  <c r="BJ42" i="1"/>
  <c r="BJ71" i="1"/>
  <c r="AQ3" i="1"/>
  <c r="AR3" i="1"/>
  <c r="AP3" i="1"/>
  <c r="AQ65" i="1"/>
  <c r="AR65" i="1"/>
  <c r="AP65" i="1"/>
  <c r="AR28" i="1"/>
  <c r="AQ28" i="1"/>
  <c r="AP28" i="1"/>
  <c r="BJ81" i="1"/>
  <c r="AR85" i="1"/>
  <c r="AQ85" i="1"/>
  <c r="AP85" i="1"/>
  <c r="AO88" i="1"/>
  <c r="AS88" i="1"/>
  <c r="AR64" i="1"/>
  <c r="AQ64" i="1"/>
  <c r="AP64" i="1"/>
  <c r="BJ64" i="1"/>
  <c r="AO68" i="1"/>
  <c r="AS68" i="1"/>
  <c r="BJ13" i="1"/>
  <c r="T75" i="1"/>
  <c r="AR74" i="1"/>
  <c r="AQ74" i="1"/>
  <c r="AP74" i="1"/>
  <c r="BE74" i="1"/>
  <c r="AQ6" i="1"/>
  <c r="AR6" i="1"/>
  <c r="AP6" i="1"/>
  <c r="BJ6" i="1"/>
  <c r="AR40" i="1"/>
  <c r="AP40" i="1"/>
  <c r="AQ40" i="1"/>
  <c r="AQ41" i="1"/>
  <c r="AR41" i="1"/>
  <c r="AP41" i="1"/>
  <c r="AP23" i="1"/>
  <c r="AR23" i="1"/>
  <c r="AQ23" i="1"/>
  <c r="AP7" i="1"/>
  <c r="AR7" i="1"/>
  <c r="AQ7" i="1"/>
  <c r="AP31" i="1"/>
  <c r="AQ31" i="1"/>
  <c r="AR31" i="1"/>
  <c r="AO20" i="1"/>
  <c r="AS20" i="1"/>
  <c r="BO91" i="1"/>
  <c r="AQ14" i="1"/>
  <c r="AP14" i="1"/>
  <c r="AR14" i="1"/>
  <c r="BJ14" i="1"/>
  <c r="AQ37" i="1"/>
  <c r="AR37" i="1"/>
  <c r="AP37" i="1"/>
  <c r="BJ27" i="1"/>
  <c r="T34" i="1"/>
  <c r="T42" i="1"/>
  <c r="AO61" i="1"/>
  <c r="AS61" i="1"/>
  <c r="AO53" i="1"/>
  <c r="AS53" i="1"/>
  <c r="AO37" i="1"/>
  <c r="AS37" i="1"/>
  <c r="AO33" i="1"/>
  <c r="AS33" i="1"/>
  <c r="AO25" i="1"/>
  <c r="AS25" i="1"/>
  <c r="AO21" i="1"/>
  <c r="AS21" i="1"/>
  <c r="AO13" i="1"/>
  <c r="AS13" i="1"/>
  <c r="AO5" i="1"/>
  <c r="AS5" i="1"/>
  <c r="AO67" i="1"/>
  <c r="AS67" i="1"/>
  <c r="AO43" i="1"/>
  <c r="AS43" i="1"/>
  <c r="AO31" i="1"/>
  <c r="AS31" i="1"/>
  <c r="AO11" i="1"/>
  <c r="AS11" i="1"/>
  <c r="AQ29" i="1"/>
  <c r="AR29" i="1"/>
  <c r="AP29" i="1"/>
  <c r="AQ10" i="1"/>
  <c r="AR10" i="1"/>
  <c r="AP10" i="1"/>
  <c r="AP63" i="1"/>
  <c r="AQ63" i="1"/>
  <c r="AR63" i="1"/>
  <c r="BO63" i="1"/>
  <c r="AO80" i="1"/>
  <c r="AS80" i="1"/>
  <c r="BE53" i="1"/>
  <c r="AR66" i="1"/>
  <c r="AQ66" i="1"/>
  <c r="AP66" i="1"/>
  <c r="AO28" i="1"/>
  <c r="AS28" i="1"/>
  <c r="BJ21" i="1"/>
  <c r="AP47" i="1"/>
  <c r="AR47" i="1"/>
  <c r="AQ47" i="1"/>
  <c r="BE75" i="1"/>
  <c r="AR59" i="1"/>
  <c r="AQ59" i="1"/>
  <c r="AP59" i="1"/>
  <c r="BJ23" i="1"/>
  <c r="AR34" i="1"/>
  <c r="AP34" i="1"/>
  <c r="AQ34" i="1"/>
  <c r="AR42" i="1"/>
  <c r="AQ42" i="1"/>
  <c r="AP42" i="1"/>
  <c r="BJ15" i="1"/>
  <c r="AO36" i="1"/>
  <c r="AS36" i="1"/>
  <c r="BJ49" i="1"/>
  <c r="AO72" i="1"/>
  <c r="AS72" i="1"/>
  <c r="AR11" i="1"/>
  <c r="AP11" i="1"/>
  <c r="AQ11" i="1"/>
  <c r="BO11" i="1"/>
  <c r="T10" i="1"/>
  <c r="T63" i="1"/>
  <c r="AR58" i="1"/>
  <c r="AQ58" i="1"/>
  <c r="AP58" i="1"/>
  <c r="BE58" i="1"/>
  <c r="AR80" i="1"/>
  <c r="AQ80" i="1"/>
  <c r="AP80" i="1"/>
  <c r="BJ80" i="1"/>
  <c r="AR73" i="1"/>
  <c r="AP73" i="1"/>
  <c r="AQ73" i="1"/>
  <c r="AO32" i="1"/>
  <c r="AS32" i="1"/>
  <c r="AQ53" i="1"/>
  <c r="AR53" i="1"/>
  <c r="AP53" i="1"/>
  <c r="T18" i="1"/>
  <c r="T66" i="1"/>
  <c r="T19" i="1"/>
  <c r="AO84" i="1"/>
  <c r="AS84" i="1"/>
  <c r="AR36" i="1"/>
  <c r="AP36" i="1"/>
  <c r="AQ36" i="1"/>
  <c r="BE36" i="1"/>
  <c r="AQ49" i="1"/>
  <c r="AR49" i="1"/>
  <c r="AP49" i="1"/>
  <c r="AO16" i="1"/>
  <c r="AS16" i="1"/>
  <c r="AR72" i="1"/>
  <c r="AQ72" i="1"/>
  <c r="AP72" i="1"/>
  <c r="T11" i="1"/>
  <c r="AO8" i="1"/>
  <c r="AS8" i="1"/>
  <c r="BJ87" i="1"/>
  <c r="T58" i="1"/>
  <c r="AQ17" i="1"/>
  <c r="AR17" i="1"/>
  <c r="AP17" i="1"/>
  <c r="BE51" i="1"/>
  <c r="AR32" i="1"/>
  <c r="AQ32" i="1"/>
  <c r="AP32" i="1"/>
  <c r="AR62" i="1"/>
  <c r="AP62" i="1"/>
  <c r="AQ62" i="1"/>
  <c r="BE62" i="1"/>
  <c r="AO60" i="1"/>
  <c r="AS60" i="1"/>
  <c r="AO12" i="1"/>
  <c r="AS12" i="1"/>
  <c r="BE43" i="1"/>
  <c r="AQ22" i="1"/>
  <c r="AR22" i="1"/>
  <c r="AP22" i="1"/>
  <c r="BJ22" i="1"/>
  <c r="AR35" i="1"/>
  <c r="AP35" i="1"/>
  <c r="AQ35" i="1"/>
  <c r="BO71" i="1"/>
  <c r="T3" i="1"/>
  <c r="BL3" i="1"/>
  <c r="AR83" i="1"/>
  <c r="AP83" i="1"/>
  <c r="AQ83" i="1"/>
  <c r="BE9" i="1"/>
  <c r="BG28" i="1"/>
  <c r="AQ21" i="1"/>
  <c r="AR21" i="1"/>
  <c r="AP21" i="1"/>
  <c r="AO76" i="1"/>
  <c r="AS76" i="1"/>
  <c r="BE81" i="1"/>
  <c r="AR88" i="1"/>
  <c r="AQ88" i="1"/>
  <c r="AP88" i="1"/>
  <c r="BE88" i="1"/>
  <c r="AR93" i="1"/>
  <c r="AQ93" i="1"/>
  <c r="AP93" i="1"/>
  <c r="AO56" i="1"/>
  <c r="AS56" i="1"/>
  <c r="BJ47" i="1"/>
  <c r="BH64" i="1"/>
  <c r="AR68" i="1"/>
  <c r="AP68" i="1"/>
  <c r="AQ68" i="1"/>
  <c r="BJ68" i="1"/>
  <c r="AR89" i="1"/>
  <c r="AQ89" i="1"/>
  <c r="AP89" i="1"/>
  <c r="BJ45" i="1"/>
  <c r="AQ54" i="1"/>
  <c r="AR54" i="1"/>
  <c r="AP54" i="1"/>
  <c r="BJ54" i="1"/>
  <c r="AP55" i="1"/>
  <c r="AR55" i="1"/>
  <c r="AQ55" i="1"/>
  <c r="AO52" i="1"/>
  <c r="AS52" i="1"/>
  <c r="BJ59" i="1"/>
  <c r="T74" i="1"/>
  <c r="T6" i="1"/>
  <c r="BE39" i="1"/>
  <c r="AO24" i="1"/>
  <c r="AS24" i="1"/>
  <c r="AO44" i="1"/>
  <c r="AS44" i="1"/>
  <c r="BJ57" i="1"/>
  <c r="T7" i="1"/>
  <c r="AR20" i="1"/>
  <c r="AQ20" i="1"/>
  <c r="AP20" i="1"/>
  <c r="BE20" i="1"/>
  <c r="AQ90" i="1"/>
  <c r="AR90" i="1"/>
  <c r="AP90" i="1"/>
  <c r="BE90" i="1"/>
  <c r="AR91" i="1"/>
  <c r="AP91" i="1"/>
  <c r="AQ91" i="1"/>
  <c r="AQ78" i="1"/>
  <c r="AR78" i="1"/>
  <c r="AP78" i="1"/>
  <c r="BJ78" i="1"/>
  <c r="AR4" i="1"/>
  <c r="AP4" i="1"/>
  <c r="AQ4" i="1"/>
  <c r="T14" i="1"/>
  <c r="AQ33" i="1"/>
  <c r="AR33" i="1"/>
  <c r="AP33" i="1"/>
  <c r="BK70" i="1"/>
  <c r="T87" i="1"/>
  <c r="BO87" i="1"/>
  <c r="BJ17" i="1"/>
  <c r="T51" i="1"/>
  <c r="BO51" i="1"/>
  <c r="T43" i="1"/>
  <c r="BO43" i="1"/>
  <c r="T83" i="1"/>
  <c r="BJ83" i="1"/>
  <c r="BM81" i="1"/>
  <c r="T47" i="1"/>
  <c r="BO47" i="1"/>
  <c r="BE64" i="1"/>
  <c r="BH75" i="1"/>
  <c r="BO7" i="1"/>
  <c r="T67" i="1"/>
  <c r="BO67" i="1"/>
  <c r="T31" i="1"/>
  <c r="BO31" i="1"/>
  <c r="T27" i="1"/>
  <c r="BE27" i="1"/>
  <c r="T39" i="1"/>
  <c r="T23" i="1"/>
  <c r="BO79" i="1"/>
  <c r="BO83" i="1"/>
  <c r="BM78" i="1"/>
  <c r="BH4" i="1"/>
  <c r="BO27" i="1"/>
  <c r="T15" i="1"/>
  <c r="BJ62" i="1"/>
  <c r="T35" i="1"/>
  <c r="T55" i="1"/>
  <c r="T59" i="1"/>
  <c r="BL91" i="1"/>
  <c r="T29" i="1"/>
  <c r="T49" i="1"/>
  <c r="T5" i="1"/>
  <c r="BO5" i="1"/>
  <c r="T9" i="1"/>
  <c r="BO89" i="1"/>
  <c r="T45" i="1"/>
  <c r="T41" i="1"/>
  <c r="T57" i="1"/>
  <c r="BO77" i="1"/>
  <c r="T17" i="1"/>
  <c r="T21" i="1"/>
  <c r="BO21" i="1"/>
  <c r="T81" i="1"/>
  <c r="T25" i="1"/>
  <c r="BO25" i="1"/>
  <c r="T13" i="1"/>
  <c r="BO13" i="1"/>
  <c r="T91" i="1"/>
  <c r="T37" i="1"/>
  <c r="BO37" i="1"/>
  <c r="T33" i="1"/>
  <c r="BO33" i="1"/>
  <c r="T73" i="1"/>
  <c r="T65" i="1"/>
  <c r="T93" i="1"/>
  <c r="T69" i="1"/>
  <c r="BK7" i="1"/>
  <c r="BL80" i="1"/>
  <c r="BG73" i="1"/>
  <c r="BH18" i="1"/>
  <c r="BJ88" i="1"/>
  <c r="BL25" i="1"/>
  <c r="BE14" i="1"/>
  <c r="BJ9" i="1"/>
  <c r="BJ39" i="1"/>
  <c r="BJ29" i="1"/>
  <c r="BG72" i="1"/>
  <c r="BG65" i="1"/>
  <c r="BH21" i="1"/>
  <c r="BE6" i="1"/>
  <c r="BK57" i="1"/>
  <c r="BM31" i="1"/>
  <c r="BE78" i="1"/>
  <c r="BK14" i="1"/>
  <c r="BK50" i="1"/>
  <c r="BL8" i="1"/>
  <c r="BL59" i="1"/>
  <c r="BK63" i="1"/>
  <c r="BJ38" i="1"/>
  <c r="BJ43" i="1"/>
  <c r="BE66" i="1"/>
  <c r="BJ35" i="1"/>
  <c r="BM83" i="1"/>
  <c r="BF68" i="1"/>
  <c r="BE54" i="1"/>
  <c r="BJ52" i="1"/>
  <c r="BM59" i="1"/>
  <c r="BL39" i="1"/>
  <c r="BJ24" i="1"/>
  <c r="BE57" i="1"/>
  <c r="BJ20" i="1"/>
  <c r="BK37" i="1"/>
  <c r="BL27" i="1"/>
  <c r="BL15" i="1"/>
  <c r="BG49" i="1"/>
  <c r="BG77" i="1"/>
  <c r="BE10" i="1"/>
  <c r="BH32" i="1"/>
  <c r="BK38" i="1"/>
  <c r="BJ53" i="1"/>
  <c r="BH61" i="1"/>
  <c r="BE71" i="1"/>
  <c r="BH28" i="1"/>
  <c r="BM82" i="1"/>
  <c r="BJ85" i="1"/>
  <c r="BL86" i="1"/>
  <c r="BG26" i="1"/>
  <c r="BG68" i="1"/>
  <c r="BK89" i="1"/>
  <c r="BF54" i="1"/>
  <c r="BK55" i="1"/>
  <c r="BJ74" i="1"/>
  <c r="BE23" i="1"/>
  <c r="BK24" i="1"/>
  <c r="BH7" i="1"/>
  <c r="BL67" i="1"/>
  <c r="BK90" i="1"/>
  <c r="BM27" i="1"/>
  <c r="BL50" i="1"/>
  <c r="BJ36" i="1"/>
  <c r="BE87" i="1"/>
  <c r="BM15" i="1"/>
  <c r="BH16" i="1"/>
  <c r="BM10" i="1"/>
  <c r="BK8" i="1"/>
  <c r="BG60" i="1"/>
  <c r="BK53" i="1"/>
  <c r="BK61" i="1"/>
  <c r="BK3" i="1"/>
  <c r="BE21" i="1"/>
  <c r="BK30" i="1"/>
  <c r="BM86" i="1"/>
  <c r="BH47" i="1"/>
  <c r="BL45" i="1"/>
  <c r="BH13" i="1"/>
  <c r="BL74" i="1"/>
  <c r="BK41" i="1"/>
  <c r="BH44" i="1"/>
  <c r="BM67" i="1"/>
  <c r="BL33" i="1"/>
  <c r="BF48" i="1"/>
  <c r="BL16" i="1"/>
  <c r="BF4" i="1"/>
  <c r="BF84" i="1"/>
  <c r="BE15" i="1"/>
  <c r="BM29" i="1"/>
  <c r="BK36" i="1"/>
  <c r="BK49" i="1"/>
  <c r="BH11" i="1"/>
  <c r="BH5" i="1"/>
  <c r="BF58" i="1"/>
  <c r="BF51" i="1"/>
  <c r="BL12" i="1"/>
  <c r="BM43" i="1"/>
  <c r="BL22" i="1"/>
  <c r="BM35" i="1"/>
  <c r="BK71" i="1"/>
  <c r="BH65" i="1"/>
  <c r="BF83" i="1"/>
  <c r="BF93" i="1"/>
  <c r="BG13" i="1"/>
  <c r="BL13" i="1"/>
  <c r="BF40" i="1"/>
  <c r="BH39" i="1"/>
  <c r="BM39" i="1"/>
  <c r="BL57" i="1"/>
  <c r="BG57" i="1"/>
  <c r="BF34" i="1"/>
  <c r="BF28" i="1"/>
  <c r="BK28" i="1"/>
  <c r="BJ84" i="1"/>
  <c r="BF29" i="1"/>
  <c r="BL11" i="1"/>
  <c r="BJ63" i="1"/>
  <c r="BL5" i="1"/>
  <c r="BJ58" i="1"/>
  <c r="BJ51" i="1"/>
  <c r="BL32" i="1"/>
  <c r="BM62" i="1"/>
  <c r="BH66" i="1"/>
  <c r="BM66" i="1"/>
  <c r="BK19" i="1"/>
  <c r="BM22" i="1"/>
  <c r="BJ86" i="1"/>
  <c r="BE86" i="1"/>
  <c r="BJ26" i="1"/>
  <c r="BE26" i="1"/>
  <c r="BM24" i="1"/>
  <c r="BH24" i="1"/>
  <c r="BG7" i="1"/>
  <c r="BL7" i="1"/>
  <c r="BJ33" i="1"/>
  <c r="BE33" i="1"/>
  <c r="BJ18" i="1"/>
  <c r="BE18" i="1"/>
  <c r="BJ82" i="1"/>
  <c r="BE82" i="1"/>
  <c r="BJ67" i="1"/>
  <c r="BE67" i="1"/>
  <c r="BK27" i="1"/>
  <c r="BF27" i="1"/>
  <c r="BK77" i="1"/>
  <c r="BM87" i="1"/>
  <c r="BM17" i="1"/>
  <c r="BK73" i="1"/>
  <c r="BK60" i="1"/>
  <c r="BL18" i="1"/>
  <c r="BE19" i="1"/>
  <c r="BJ19" i="1"/>
  <c r="BL61" i="1"/>
  <c r="BK9" i="1"/>
  <c r="BG76" i="1"/>
  <c r="BK88" i="1"/>
  <c r="BF88" i="1"/>
  <c r="BH56" i="1"/>
  <c r="BM56" i="1"/>
  <c r="BF69" i="1"/>
  <c r="BG41" i="1"/>
  <c r="BL41" i="1"/>
  <c r="BG44" i="1"/>
  <c r="BL44" i="1"/>
  <c r="BG42" i="1"/>
  <c r="BL42" i="1"/>
  <c r="BK76" i="1"/>
  <c r="BG81" i="1"/>
  <c r="BM85" i="1"/>
  <c r="BG93" i="1"/>
  <c r="BJ56" i="1"/>
  <c r="BF25" i="1"/>
  <c r="BL47" i="1"/>
  <c r="BL89" i="1"/>
  <c r="BL55" i="1"/>
  <c r="BK52" i="1"/>
  <c r="BG69" i="1"/>
  <c r="BG23" i="1"/>
  <c r="BM46" i="1"/>
  <c r="BF31" i="1"/>
  <c r="BK20" i="1"/>
  <c r="BG78" i="1"/>
  <c r="BJ48" i="1"/>
  <c r="BK42" i="1"/>
  <c r="BG88" i="1"/>
  <c r="BF26" i="1"/>
  <c r="BE47" i="1"/>
  <c r="BE68" i="1"/>
  <c r="BF74" i="1"/>
  <c r="BM74" i="1"/>
  <c r="BE91" i="1"/>
  <c r="BL21" i="1"/>
  <c r="BJ30" i="1"/>
  <c r="B12" i="2"/>
  <c r="J12" i="2"/>
  <c r="BH50" i="1"/>
  <c r="BJ11" i="1"/>
  <c r="BE11" i="1"/>
  <c r="BK10" i="1"/>
  <c r="BF10" i="1"/>
  <c r="BM8" i="1"/>
  <c r="BH8" i="1"/>
  <c r="BJ5" i="1"/>
  <c r="BE5" i="1"/>
  <c r="BK87" i="1"/>
  <c r="BF87" i="1"/>
  <c r="BK17" i="1"/>
  <c r="BF17" i="1"/>
  <c r="BM73" i="1"/>
  <c r="BH73" i="1"/>
  <c r="BJ32" i="1"/>
  <c r="BE32" i="1"/>
  <c r="BK62" i="1"/>
  <c r="BF62" i="1"/>
  <c r="BM60" i="1"/>
  <c r="BH60" i="1"/>
  <c r="BJ12" i="1"/>
  <c r="BE12" i="1"/>
  <c r="BK43" i="1"/>
  <c r="BF43" i="1"/>
  <c r="BK18" i="1"/>
  <c r="BF18" i="1"/>
  <c r="BK35" i="1"/>
  <c r="BF35" i="1"/>
  <c r="BJ65" i="1"/>
  <c r="BE65" i="1"/>
  <c r="BF45" i="1"/>
  <c r="BK15" i="1"/>
  <c r="BF15" i="1"/>
  <c r="BL36" i="1"/>
  <c r="BG36" i="1"/>
  <c r="BM9" i="1"/>
  <c r="BH9" i="1"/>
  <c r="BH76" i="1"/>
  <c r="BM26" i="1"/>
  <c r="BH26" i="1"/>
  <c r="D12" i="2"/>
  <c r="F15" i="2"/>
  <c r="BL29" i="1"/>
  <c r="BG29" i="1"/>
  <c r="BM49" i="1"/>
  <c r="BH49" i="1"/>
  <c r="BJ16" i="1"/>
  <c r="BE16" i="1"/>
  <c r="BM88" i="1"/>
  <c r="BH88" i="1"/>
  <c r="BH93" i="1"/>
  <c r="BK86" i="1"/>
  <c r="BF86" i="1"/>
  <c r="BM68" i="1"/>
  <c r="BH68" i="1"/>
  <c r="BH89" i="1"/>
  <c r="BJ41" i="1"/>
  <c r="BE41" i="1"/>
  <c r="BJ44" i="1"/>
  <c r="BE44" i="1"/>
  <c r="BM84" i="1"/>
  <c r="BH84" i="1"/>
  <c r="BL83" i="1"/>
  <c r="BG83" i="1"/>
  <c r="BK81" i="1"/>
  <c r="BF81" i="1"/>
  <c r="BH25" i="1"/>
  <c r="BK47" i="1"/>
  <c r="BF47" i="1"/>
  <c r="H15" i="2"/>
  <c r="H5" i="2" s="1"/>
  <c r="BG84" i="1"/>
  <c r="BJ50" i="1"/>
  <c r="BE50" i="1"/>
  <c r="BK72" i="1"/>
  <c r="BL63" i="1"/>
  <c r="BG63" i="1"/>
  <c r="BL58" i="1"/>
  <c r="BG58" i="1"/>
  <c r="BL51" i="1"/>
  <c r="BG51" i="1"/>
  <c r="BL38" i="1"/>
  <c r="BG38" i="1"/>
  <c r="BL53" i="1"/>
  <c r="BG53" i="1"/>
  <c r="BL71" i="1"/>
  <c r="BG71" i="1"/>
  <c r="BK21" i="1"/>
  <c r="BF21" i="1"/>
  <c r="BK75" i="1"/>
  <c r="BF75" i="1"/>
  <c r="BE40" i="1"/>
  <c r="BJ40" i="1"/>
  <c r="BL48" i="1"/>
  <c r="BG48" i="1"/>
  <c r="BE80" i="1"/>
  <c r="BG19" i="1"/>
  <c r="BL35" i="1"/>
  <c r="BG35" i="1"/>
  <c r="BM71" i="1"/>
  <c r="BH71" i="1"/>
  <c r="BH3" i="1"/>
  <c r="BK65" i="1"/>
  <c r="BF65" i="1"/>
  <c r="BG30" i="1"/>
  <c r="BJ76" i="1"/>
  <c r="BE76" i="1"/>
  <c r="BJ93" i="1"/>
  <c r="BE93" i="1"/>
  <c r="BJ25" i="1"/>
  <c r="BE25" i="1"/>
  <c r="BJ89" i="1"/>
  <c r="BE89" i="1"/>
  <c r="BL75" i="1"/>
  <c r="BG75" i="1"/>
  <c r="BK23" i="1"/>
  <c r="BF23" i="1"/>
  <c r="BJ46" i="1"/>
  <c r="BJ31" i="1"/>
  <c r="BE31" i="1"/>
  <c r="BG90" i="1"/>
  <c r="BJ4" i="1"/>
  <c r="BE4" i="1"/>
  <c r="BG37" i="1"/>
  <c r="BH36" i="1"/>
  <c r="BE49" i="1"/>
  <c r="BF16" i="1"/>
  <c r="BF79" i="1"/>
  <c r="BF11" i="1"/>
  <c r="BG10" i="1"/>
  <c r="BH63" i="1"/>
  <c r="BE8" i="1"/>
  <c r="BF5" i="1"/>
  <c r="BG87" i="1"/>
  <c r="BH58" i="1"/>
  <c r="BF80" i="1"/>
  <c r="BG17" i="1"/>
  <c r="BH51" i="1"/>
  <c r="BE73" i="1"/>
  <c r="BF32" i="1"/>
  <c r="BG62" i="1"/>
  <c r="BH38" i="1"/>
  <c r="BE60" i="1"/>
  <c r="BF12" i="1"/>
  <c r="BG43" i="1"/>
  <c r="BH53" i="1"/>
  <c r="BL66" i="1"/>
  <c r="BG66" i="1"/>
  <c r="BF66" i="1"/>
  <c r="BM19" i="1"/>
  <c r="BH19" i="1"/>
  <c r="BJ61" i="1"/>
  <c r="BE61" i="1"/>
  <c r="BJ3" i="1"/>
  <c r="BE3" i="1"/>
  <c r="BL82" i="1"/>
  <c r="BG82" i="1"/>
  <c r="BF82" i="1"/>
  <c r="BM30" i="1"/>
  <c r="BH30" i="1"/>
  <c r="BM54" i="1"/>
  <c r="BH54" i="1"/>
  <c r="BG54" i="1"/>
  <c r="BH55" i="1"/>
  <c r="BK13" i="1"/>
  <c r="BF13" i="1"/>
  <c r="BE13" i="1"/>
  <c r="BM52" i="1"/>
  <c r="BH52" i="1"/>
  <c r="BG52" i="1"/>
  <c r="BH69" i="1"/>
  <c r="BK59" i="1"/>
  <c r="BF59" i="1"/>
  <c r="BE59" i="1"/>
  <c r="BK6" i="1"/>
  <c r="BK46" i="1"/>
  <c r="BF46" i="1"/>
  <c r="BG20" i="1"/>
  <c r="BM20" i="1"/>
  <c r="BG14" i="1"/>
  <c r="BM14" i="1"/>
  <c r="BE42" i="1"/>
  <c r="M104" i="6"/>
  <c r="M106" i="6" s="1"/>
  <c r="BK22" i="1"/>
  <c r="BF22" i="1"/>
  <c r="BE22" i="1"/>
  <c r="BG9" i="1"/>
  <c r="BJ28" i="1"/>
  <c r="BE28" i="1"/>
  <c r="BL85" i="1"/>
  <c r="BG85" i="1"/>
  <c r="BF85" i="1"/>
  <c r="BL56" i="1"/>
  <c r="BG56" i="1"/>
  <c r="BF56" i="1"/>
  <c r="BL64" i="1"/>
  <c r="BG64" i="1"/>
  <c r="BF64" i="1"/>
  <c r="BE45" i="1"/>
  <c r="BJ55" i="1"/>
  <c r="BE55" i="1"/>
  <c r="BJ69" i="1"/>
  <c r="BE69" i="1"/>
  <c r="BL6" i="1"/>
  <c r="BG6" i="1"/>
  <c r="BF39" i="1"/>
  <c r="BM57" i="1"/>
  <c r="BK91" i="1"/>
  <c r="BK33" i="1"/>
  <c r="BJ34" i="1"/>
  <c r="BM6" i="1"/>
  <c r="BG40" i="1"/>
  <c r="BK44" i="1"/>
  <c r="BL46" i="1"/>
  <c r="BJ7" i="1"/>
  <c r="BH90" i="1"/>
  <c r="BH91" i="1"/>
  <c r="BF92" i="1"/>
  <c r="BH37" i="1"/>
  <c r="BH33" i="1"/>
  <c r="BM48" i="1"/>
  <c r="BG34" i="1"/>
  <c r="BH40" i="1"/>
  <c r="BH41" i="1"/>
  <c r="BM23" i="1"/>
  <c r="BG24" i="1"/>
  <c r="BK67" i="1"/>
  <c r="BL31" i="1"/>
  <c r="BJ90" i="1"/>
  <c r="BG92" i="1"/>
  <c r="BK78" i="1"/>
  <c r="BL4" i="1"/>
  <c r="BJ37" i="1"/>
  <c r="BH34" i="1"/>
  <c r="BH42" i="1"/>
  <c r="N104" i="6"/>
  <c r="N106" i="6" s="1"/>
  <c r="L100" i="6"/>
  <c r="L101" i="6" s="1"/>
  <c r="K103" i="6" s="1"/>
  <c r="AO74" i="1" l="1"/>
  <c r="AO49" i="1"/>
  <c r="AO42" i="1"/>
  <c r="AS18" i="1"/>
  <c r="AS41" i="1"/>
  <c r="AS3" i="1"/>
  <c r="AS14" i="1"/>
  <c r="AS6" i="1"/>
  <c r="AS58" i="1"/>
  <c r="AS34" i="1"/>
  <c r="AS70" i="1"/>
  <c r="AO29" i="1"/>
  <c r="AO57" i="1"/>
  <c r="AO45" i="1"/>
  <c r="AO66" i="1"/>
  <c r="AS9" i="1"/>
  <c r="AO10" i="1"/>
  <c r="AO81" i="1"/>
  <c r="AS81" i="1"/>
  <c r="AO89" i="1"/>
  <c r="AS89" i="1"/>
  <c r="AO85" i="1"/>
  <c r="AS85" i="1"/>
  <c r="AO65" i="1"/>
  <c r="AS65" i="1"/>
  <c r="AO77" i="1"/>
  <c r="AS77" i="1"/>
  <c r="AO55" i="1"/>
  <c r="AS55" i="1"/>
  <c r="AO35" i="1"/>
  <c r="AS35" i="1"/>
  <c r="AO79" i="1"/>
  <c r="AS79" i="1"/>
  <c r="AO39" i="1"/>
  <c r="AS39" i="1"/>
  <c r="AO69" i="1"/>
  <c r="AS69" i="1"/>
  <c r="AO73" i="1"/>
  <c r="AS73" i="1"/>
  <c r="AO15" i="1"/>
  <c r="AS15" i="1"/>
  <c r="AO75" i="1"/>
  <c r="AS75" i="1"/>
  <c r="AO59" i="1"/>
  <c r="AS59" i="1"/>
  <c r="AO17" i="1"/>
  <c r="AS17" i="1"/>
  <c r="AO93" i="1"/>
  <c r="AS93" i="1"/>
  <c r="AO71" i="1"/>
  <c r="AS71" i="1"/>
  <c r="BO94" i="1"/>
  <c r="F5" i="2"/>
  <c r="F18" i="2"/>
  <c r="K18" i="2"/>
  <c r="K20" i="2" s="1"/>
  <c r="D30" i="2"/>
  <c r="D15" i="2"/>
  <c r="J15" i="2"/>
  <c r="J5" i="2" s="1"/>
  <c r="J30" i="2"/>
  <c r="B30" i="2"/>
  <c r="B32" i="2" s="1"/>
  <c r="B15" i="2"/>
  <c r="B18" i="2" l="1"/>
  <c r="B5" i="2"/>
  <c r="I18" i="2"/>
  <c r="I20" i="2" s="1"/>
  <c r="D5" i="2"/>
  <c r="D18" i="2"/>
</calcChain>
</file>

<file path=xl/sharedStrings.xml><?xml version="1.0" encoding="utf-8"?>
<sst xmlns="http://schemas.openxmlformats.org/spreadsheetml/2006/main" count="2029" uniqueCount="471">
  <si>
    <t>下单周</t>
  </si>
  <si>
    <t>Week 8/28-9/1</t>
  </si>
  <si>
    <t>Week 9/4-9/8</t>
  </si>
  <si>
    <t>Week 9/11-9/15</t>
  </si>
  <si>
    <t>Week 9/18-9/22</t>
  </si>
  <si>
    <t>Week 9/25-9/29</t>
  </si>
  <si>
    <t>仓库拣货天数</t>
  </si>
  <si>
    <t>日均拣货中包数</t>
  </si>
  <si>
    <t>Region</t>
  </si>
  <si>
    <t>预计下单中包量</t>
  </si>
  <si>
    <t>预计到店周</t>
  </si>
  <si>
    <t>East</t>
  </si>
  <si>
    <t>Week 9/11</t>
  </si>
  <si>
    <t>Week 9/18</t>
  </si>
  <si>
    <t>Week 9/25</t>
  </si>
  <si>
    <t>Week 10/2</t>
  </si>
  <si>
    <t>Week 10/9</t>
  </si>
  <si>
    <t>FL</t>
  </si>
  <si>
    <t>TX</t>
  </si>
  <si>
    <t>WA</t>
  </si>
  <si>
    <t>West</t>
  </si>
  <si>
    <t>Week 9/4</t>
  </si>
  <si>
    <t>老店中包数汇总</t>
  </si>
  <si>
    <t>新店店数</t>
  </si>
  <si>
    <t>新店中包数</t>
  </si>
  <si>
    <t>老店+新店中包数汇总</t>
  </si>
  <si>
    <t>PIC</t>
  </si>
  <si>
    <t>(多项)</t>
  </si>
  <si>
    <t>求和项:Week 7/33</t>
  </si>
  <si>
    <t>求和项:Week 7/103</t>
  </si>
  <si>
    <t>求和项:Week 7/173</t>
  </si>
  <si>
    <t>求和项:Week 7/243</t>
  </si>
  <si>
    <t>总计</t>
  </si>
  <si>
    <t>新店</t>
  </si>
  <si>
    <t>求和项:Week 7/313</t>
  </si>
  <si>
    <t>求和项:Week 8/73</t>
  </si>
  <si>
    <t>求和项:Week 8/143</t>
  </si>
  <si>
    <t>求和项:Week 8/213</t>
  </si>
  <si>
    <t>求和项:Week 8/283</t>
  </si>
  <si>
    <t>-</t>
  </si>
  <si>
    <t>求和项:Week 9/43</t>
  </si>
  <si>
    <t>求和项:Week 9/113</t>
  </si>
  <si>
    <t>求和项:Week 9/183</t>
  </si>
  <si>
    <t>求和项:Week 9/253</t>
  </si>
  <si>
    <t>Store information</t>
  </si>
  <si>
    <t>Store target</t>
  </si>
  <si>
    <t>Prepare Time</t>
  </si>
  <si>
    <t>Store inventory</t>
  </si>
  <si>
    <t>Replenish Calculation</t>
  </si>
  <si>
    <t>Order week （Amt）</t>
  </si>
  <si>
    <t>Order week （QTY）</t>
  </si>
  <si>
    <t>Order week （inner）</t>
  </si>
  <si>
    <t>Order week （pallets）</t>
  </si>
  <si>
    <t>Contry</t>
  </si>
  <si>
    <t>Store Code</t>
  </si>
  <si>
    <t>Store Name</t>
  </si>
  <si>
    <t>Coast</t>
  </si>
  <si>
    <t>State</t>
  </si>
  <si>
    <t>Store area</t>
  </si>
  <si>
    <t>Store Rank</t>
  </si>
  <si>
    <t xml:space="preserve">Store Safety Stock（10k） </t>
  </si>
  <si>
    <t xml:space="preserve">Standard  Amt </t>
  </si>
  <si>
    <t>Turnover</t>
  </si>
  <si>
    <t>Standard Display PCS (Plush)</t>
  </si>
  <si>
    <t>Standard Display PCS (Cushion)</t>
  </si>
  <si>
    <t>Standard Display PCS (Blind box)</t>
  </si>
  <si>
    <t>Least Prepare Days</t>
  </si>
  <si>
    <t>Start Date</t>
  </si>
  <si>
    <t>End Date</t>
  </si>
  <si>
    <t>Total Store Stock Amt（10k）</t>
  </si>
  <si>
    <t>Current Turnover</t>
  </si>
  <si>
    <t>In Store Stock Amt</t>
  </si>
  <si>
    <t>In transit  Amt.</t>
  </si>
  <si>
    <t>On Order Amt.</t>
  </si>
  <si>
    <t>total Store Stock Pcs (Plush)</t>
  </si>
  <si>
    <t>total  Store Stock Pcs (blind box)</t>
  </si>
  <si>
    <t>total  Store Stock Pcs (pillow)</t>
  </si>
  <si>
    <t>total Store Stock Pcs</t>
  </si>
  <si>
    <t>Average Day Sales Amt Forecast (Aug)</t>
  </si>
  <si>
    <t>Average Day Sales Amt Forecast (Sept)</t>
  </si>
  <si>
    <t>9VS8增长率</t>
    <phoneticPr fontId="12" type="noConversion"/>
  </si>
  <si>
    <t>Average Day Sales Amt Forecast (obt)</t>
  </si>
  <si>
    <t>10VS9</t>
  </si>
  <si>
    <t>Average Day Sales Amt in 14 days</t>
  </si>
  <si>
    <t>Average Day Sales Qty in 14 days</t>
  </si>
  <si>
    <t>Week Sales amt</t>
    <phoneticPr fontId="12" type="noConversion"/>
  </si>
  <si>
    <t>Week Sales QTY</t>
    <phoneticPr fontId="12" type="noConversion"/>
  </si>
  <si>
    <t>Sales Qty in 7 days(Plush)</t>
  </si>
  <si>
    <t>Sales Qty in 7 days(Pillow)</t>
  </si>
  <si>
    <t>Sales Qty in 7 days(Blind box)</t>
  </si>
  <si>
    <t>Replenish amount（10k）</t>
  </si>
  <si>
    <t>Replenish Quantity</t>
  </si>
  <si>
    <t>Replenish Quantity (Plush)</t>
  </si>
  <si>
    <t>Replenish Quantity (pillow)</t>
  </si>
  <si>
    <t>Replenish Quantity (Blind box)</t>
  </si>
  <si>
    <t>Inventory Status</t>
  </si>
  <si>
    <t>Week 8/28</t>
  </si>
  <si>
    <t>空运</t>
    <phoneticPr fontId="12" type="noConversion"/>
  </si>
  <si>
    <t>monthly total amt</t>
    <phoneticPr fontId="12" type="noConversion"/>
  </si>
  <si>
    <t>总数</t>
  </si>
  <si>
    <t>公仔</t>
  </si>
  <si>
    <t>枕类</t>
  </si>
  <si>
    <t>盲盒</t>
  </si>
  <si>
    <t>食品</t>
  </si>
  <si>
    <t>饮料</t>
  </si>
  <si>
    <t>US</t>
  </si>
  <si>
    <t>US01</t>
  </si>
  <si>
    <t>CO-SCA-Pasadena</t>
  </si>
  <si>
    <t>CA</t>
  </si>
  <si>
    <t>B</t>
  </si>
  <si>
    <t>Mia</t>
  </si>
  <si>
    <t>US03</t>
  </si>
  <si>
    <t>CO-SCA-Moreno Valley</t>
  </si>
  <si>
    <t>Irene</t>
  </si>
  <si>
    <t>US05</t>
  </si>
  <si>
    <t>CO-SCA-Arcadia</t>
  </si>
  <si>
    <t>A</t>
  </si>
  <si>
    <t>US08</t>
  </si>
  <si>
    <t>CO-SCA-Bakersfield</t>
  </si>
  <si>
    <t>US09</t>
  </si>
  <si>
    <t>CO-SCA-Riverside</t>
  </si>
  <si>
    <t>C</t>
  </si>
  <si>
    <t>US10</t>
  </si>
  <si>
    <t>CO-SCA-Hollywood</t>
  </si>
  <si>
    <t>US11</t>
  </si>
  <si>
    <t>CO-SCA-7 Covina</t>
  </si>
  <si>
    <t>US13</t>
  </si>
  <si>
    <t>CO-NCA-Stonestown</t>
  </si>
  <si>
    <t>Yueqi</t>
  </si>
  <si>
    <t>US15</t>
  </si>
  <si>
    <t>CO-SCA-Torrance</t>
  </si>
  <si>
    <t>US16</t>
  </si>
  <si>
    <t>CO-SCA-Culver City</t>
  </si>
  <si>
    <t>US17</t>
  </si>
  <si>
    <t>CO-SCA-Escondido</t>
  </si>
  <si>
    <t>US18</t>
  </si>
  <si>
    <t>CO-SCA-Palm Desert</t>
  </si>
  <si>
    <t>US19</t>
  </si>
  <si>
    <t>CO-SCA-Irvine</t>
  </si>
  <si>
    <t>US20</t>
  </si>
  <si>
    <t>CO-SCA-Cerritos</t>
  </si>
  <si>
    <t>US21</t>
  </si>
  <si>
    <t>CO-SCA-National City</t>
  </si>
  <si>
    <t>US22</t>
  </si>
  <si>
    <t>CO-SCA-Topanga</t>
  </si>
  <si>
    <t>US23</t>
  </si>
  <si>
    <t>CO-SCA-Sherman Oaks</t>
  </si>
  <si>
    <t>US24</t>
  </si>
  <si>
    <t>CO-SCA-Valencia</t>
  </si>
  <si>
    <t>US25</t>
  </si>
  <si>
    <t>CO-NCA-Fairfield</t>
  </si>
  <si>
    <t>Shuhan</t>
  </si>
  <si>
    <t>US26</t>
  </si>
  <si>
    <t>CO-NCA-Salinas</t>
  </si>
  <si>
    <t>US27</t>
  </si>
  <si>
    <t>CO-NCA-Newark</t>
  </si>
  <si>
    <t>US28</t>
  </si>
  <si>
    <t>CO-SCA-El Cajon</t>
  </si>
  <si>
    <t>US29</t>
  </si>
  <si>
    <t>CO-SCA-Chino Hills</t>
  </si>
  <si>
    <t>US30</t>
  </si>
  <si>
    <t>CO-NCA-SFC</t>
  </si>
  <si>
    <t>US34</t>
  </si>
  <si>
    <t>CO-SCA-Mission Viejo</t>
  </si>
  <si>
    <t>US35</t>
  </si>
  <si>
    <t>FR-FL-Sand Lake</t>
  </si>
  <si>
    <t>Eric</t>
  </si>
  <si>
    <t>US38</t>
  </si>
  <si>
    <t>FR-NV-Shanghai Plaza</t>
  </si>
  <si>
    <t>NV</t>
  </si>
  <si>
    <t>US39</t>
  </si>
  <si>
    <t>CO-SCA-University Center</t>
  </si>
  <si>
    <t>US42</t>
  </si>
  <si>
    <t>CO-NJ-Cherry Hill</t>
  </si>
  <si>
    <t>NJ</t>
  </si>
  <si>
    <t>US43</t>
  </si>
  <si>
    <t>CO-VA-Tyson's Corner</t>
  </si>
  <si>
    <t>VA</t>
  </si>
  <si>
    <t>US45</t>
  </si>
  <si>
    <t>CO-NCA-Sunvalley</t>
  </si>
  <si>
    <t>US46</t>
  </si>
  <si>
    <t>CO-NY-Palisades Center</t>
  </si>
  <si>
    <t>NY</t>
  </si>
  <si>
    <t>US47</t>
  </si>
  <si>
    <t>CO-NCA-Roseville</t>
  </si>
  <si>
    <t>US48</t>
  </si>
  <si>
    <t>CO-NCA-Valley Fair</t>
  </si>
  <si>
    <t>US49</t>
  </si>
  <si>
    <t>CO-MD-Montgomery</t>
  </si>
  <si>
    <t>MD</t>
  </si>
  <si>
    <t>US51</t>
  </si>
  <si>
    <t>CO-NCA-Arden Fair</t>
  </si>
  <si>
    <t>US52</t>
  </si>
  <si>
    <t>CO-DE-Christiana</t>
  </si>
  <si>
    <t>DE</t>
  </si>
  <si>
    <t>US53</t>
  </si>
  <si>
    <t>Natick</t>
  </si>
  <si>
    <t>MA</t>
  </si>
  <si>
    <t>US54</t>
  </si>
  <si>
    <t>CO-MD-Mall in Columbia</t>
  </si>
  <si>
    <t>US55</t>
  </si>
  <si>
    <t>CO-NY-Staten Island</t>
  </si>
  <si>
    <t>US56</t>
  </si>
  <si>
    <t>CO-SCA-Brea Mall</t>
  </si>
  <si>
    <t>US57</t>
  </si>
  <si>
    <t>CO-PA-King of Prussia</t>
  </si>
  <si>
    <t>PA</t>
  </si>
  <si>
    <t>US58</t>
  </si>
  <si>
    <t>CO-MA-South Shore</t>
  </si>
  <si>
    <t>US59</t>
  </si>
  <si>
    <t>CO-VA-Potomac Mills</t>
  </si>
  <si>
    <t>US60</t>
  </si>
  <si>
    <t>CO-NJ-Jersey Gardens</t>
  </si>
  <si>
    <t>US61</t>
  </si>
  <si>
    <t>CO-MA-Northshore</t>
  </si>
  <si>
    <t>US64</t>
  </si>
  <si>
    <t>CO-NY-Tangram</t>
  </si>
  <si>
    <t>US65</t>
  </si>
  <si>
    <t>CO-NY-SOHO490</t>
  </si>
  <si>
    <t xml:space="preserve"> </t>
    <phoneticPr fontId="12" type="noConversion"/>
  </si>
  <si>
    <t>US66</t>
  </si>
  <si>
    <t>CO-NCA-Alderwood</t>
  </si>
  <si>
    <t>US67</t>
  </si>
  <si>
    <t>CO-VA-Fair Oaks</t>
  </si>
  <si>
    <t>US69</t>
  </si>
  <si>
    <t>CO-NCA-Oakridge</t>
  </si>
  <si>
    <t>US70</t>
  </si>
  <si>
    <t>Providence Place</t>
  </si>
  <si>
    <t>RI</t>
  </si>
  <si>
    <t>US71</t>
  </si>
  <si>
    <t>Willowbrook</t>
  </si>
  <si>
    <t>Middle</t>
  </si>
  <si>
    <t>US72</t>
  </si>
  <si>
    <t>First Colony</t>
  </si>
  <si>
    <t>US73</t>
  </si>
  <si>
    <t>CO-TX-Deerbrook</t>
  </si>
  <si>
    <t>US74</t>
  </si>
  <si>
    <t>CO-NCA-Great Mall</t>
  </si>
  <si>
    <t>US75</t>
  </si>
  <si>
    <t>Stoneridge</t>
  </si>
  <si>
    <t>US76</t>
  </si>
  <si>
    <t>Livermore</t>
  </si>
  <si>
    <t>US77</t>
  </si>
  <si>
    <t>Ontario</t>
  </si>
  <si>
    <t>US78</t>
  </si>
  <si>
    <t>Memorial City</t>
  </si>
  <si>
    <t>US80</t>
  </si>
  <si>
    <t>CO-WA-Southcenter</t>
  </si>
  <si>
    <t>US81</t>
  </si>
  <si>
    <t>CO-TX-Katy Mills</t>
  </si>
  <si>
    <t>US82</t>
  </si>
  <si>
    <t>CO-TX-Grapevine Mills</t>
  </si>
  <si>
    <t>US83</t>
  </si>
  <si>
    <t>CO-TX-Stonebriar Centre</t>
  </si>
  <si>
    <t>US84</t>
  </si>
  <si>
    <t>CO-TX-Hulen Mall</t>
  </si>
  <si>
    <t>US85</t>
  </si>
  <si>
    <t>CO-TX-Parks at Arlington</t>
  </si>
  <si>
    <t>US86</t>
  </si>
  <si>
    <t>CO-FL-Pembroke Lakes Mall</t>
  </si>
  <si>
    <t>US94</t>
  </si>
  <si>
    <t>Fashion Show</t>
  </si>
  <si>
    <t>US95</t>
  </si>
  <si>
    <t>Galleria at Sunset</t>
  </si>
  <si>
    <t>US96</t>
  </si>
  <si>
    <t>Clackamas</t>
  </si>
  <si>
    <t>OR</t>
  </si>
  <si>
    <t>US97</t>
  </si>
  <si>
    <t>Northridge Fashion Center</t>
  </si>
  <si>
    <t>US98</t>
  </si>
  <si>
    <t>The Shops at Montebello</t>
  </si>
  <si>
    <t>US99</t>
  </si>
  <si>
    <t>CO-WA-Outlet Collection Seattle</t>
  </si>
  <si>
    <t>USA1</t>
  </si>
  <si>
    <t>The Oaks</t>
  </si>
  <si>
    <t>USA2</t>
  </si>
  <si>
    <t>Vintage Faire</t>
  </si>
  <si>
    <t>USA3</t>
  </si>
  <si>
    <t>CO-SC-Columbiana Centre</t>
  </si>
  <si>
    <t>SC</t>
  </si>
  <si>
    <t>USA4</t>
  </si>
  <si>
    <t>Arrowhead Towne Center</t>
  </si>
  <si>
    <t>AZ</t>
  </si>
  <si>
    <t>USA5</t>
  </si>
  <si>
    <t>Chandler Fashion Center</t>
  </si>
  <si>
    <t>USA7</t>
  </si>
  <si>
    <r>
      <rPr>
        <sz val="11"/>
        <color rgb="FF222222"/>
        <rFont val="Calibri"/>
        <family val="2"/>
      </rPr>
      <t>Promenade Temecula</t>
    </r>
  </si>
  <si>
    <t>USA8</t>
  </si>
  <si>
    <t>The SoNo Collection</t>
  </si>
  <si>
    <t>CT</t>
  </si>
  <si>
    <t>USA9</t>
  </si>
  <si>
    <t>Mall of Louisiana</t>
  </si>
  <si>
    <t>LA</t>
  </si>
  <si>
    <t>USAA</t>
  </si>
  <si>
    <t>Times Square</t>
  </si>
  <si>
    <t>John</t>
  </si>
  <si>
    <t>USB1</t>
  </si>
  <si>
    <t>Maine Mall</t>
  </si>
  <si>
    <t>ME</t>
  </si>
  <si>
    <t>new store</t>
  </si>
  <si>
    <t>USB5</t>
  </si>
  <si>
    <t>Deptford</t>
  </si>
  <si>
    <t>USB6</t>
  </si>
  <si>
    <t>Annapolis</t>
  </si>
  <si>
    <t>USB7</t>
  </si>
  <si>
    <t>Tucson Mall</t>
  </si>
  <si>
    <t>Irene 首补</t>
    <phoneticPr fontId="12" type="noConversion"/>
  </si>
  <si>
    <t>USB8</t>
  </si>
  <si>
    <t>Great Lakes Crossing</t>
  </si>
  <si>
    <t>MI</t>
  </si>
  <si>
    <t>USC8</t>
  </si>
  <si>
    <t>Coral Square Mall</t>
  </si>
  <si>
    <t>USD6</t>
  </si>
  <si>
    <t>Sugarloaf Mills</t>
  </si>
  <si>
    <t>GA</t>
  </si>
  <si>
    <t>USD7</t>
  </si>
  <si>
    <t>Arizona Mills</t>
  </si>
  <si>
    <t>USF6</t>
  </si>
  <si>
    <t>Mall at Wellington Green</t>
  </si>
  <si>
    <t>Sales Forecast</t>
  </si>
  <si>
    <t>DUE：4:30pm--507</t>
  </si>
  <si>
    <t>Average Day Sales Amt Forecast (July)</t>
  </si>
  <si>
    <t>Week Sales QTY</t>
  </si>
  <si>
    <t>开业日期</t>
  </si>
  <si>
    <t>周二或三</t>
  </si>
  <si>
    <t>周一或二</t>
  </si>
  <si>
    <t>yueqi</t>
  </si>
  <si>
    <t>USG2</t>
  </si>
  <si>
    <t>Eastview Mall</t>
  </si>
  <si>
    <t>USG1</t>
  </si>
  <si>
    <t>Hillsdale</t>
  </si>
  <si>
    <t>平均值项:求和项:海外零售额</t>
  </si>
  <si>
    <t>月份</t>
  </si>
  <si>
    <t>门店代码</t>
  </si>
  <si>
    <t>US06</t>
  </si>
  <si>
    <t>US14</t>
  </si>
  <si>
    <t>US33</t>
  </si>
  <si>
    <t>US50</t>
  </si>
  <si>
    <t>US62</t>
  </si>
  <si>
    <t>US63</t>
  </si>
  <si>
    <r>
      <rPr>
        <sz val="11"/>
        <color rgb="FF000000"/>
        <rFont val="Calibri"/>
        <family val="2"/>
      </rPr>
      <t>US99</t>
    </r>
  </si>
  <si>
    <r>
      <rPr>
        <sz val="11"/>
        <color rgb="FF222222"/>
        <rFont val="Calibri"/>
        <family val="2"/>
      </rPr>
      <t>Outlet Collection - Seattle</t>
    </r>
  </si>
  <si>
    <r>
      <rPr>
        <sz val="11"/>
        <color rgb="FF000000"/>
        <rFont val="Calibri"/>
        <family val="2"/>
      </rPr>
      <t>1 Open 已开业</t>
    </r>
  </si>
  <si>
    <r>
      <rPr>
        <sz val="11"/>
        <color rgb="FF000000"/>
        <rFont val="Calibri"/>
        <family val="2"/>
      </rPr>
      <t>C</t>
    </r>
  </si>
  <si>
    <r>
      <rPr>
        <sz val="11"/>
        <color rgb="FF000000"/>
        <rFont val="Calibri"/>
        <family val="2"/>
      </rPr>
      <t>WA</t>
    </r>
  </si>
  <si>
    <r>
      <rPr>
        <sz val="11"/>
        <color rgb="FF000000"/>
        <rFont val="Calibri"/>
        <family val="2"/>
      </rPr>
      <t>Done</t>
    </r>
  </si>
  <si>
    <r>
      <rPr>
        <sz val="11"/>
        <color rgb="FF000000"/>
        <rFont val="Calibri"/>
        <family val="2"/>
      </rPr>
      <t>US89</t>
    </r>
  </si>
  <si>
    <r>
      <rPr>
        <sz val="11"/>
        <color rgb="FF222222"/>
        <rFont val="Calibri"/>
        <family val="2"/>
      </rPr>
      <t>FR-IL-Woodfield</t>
    </r>
  </si>
  <si>
    <r>
      <rPr>
        <sz val="11"/>
        <color rgb="FF000000"/>
        <rFont val="Calibri"/>
        <family val="2"/>
      </rPr>
      <t>A-</t>
    </r>
  </si>
  <si>
    <r>
      <rPr>
        <sz val="11"/>
        <color rgb="FF000000"/>
        <rFont val="Calibri"/>
        <family val="2"/>
      </rPr>
      <t>F113A</t>
    </r>
  </si>
  <si>
    <r>
      <rPr>
        <sz val="11"/>
        <color rgb="FF000000"/>
        <rFont val="Calibri"/>
        <family val="2"/>
      </rPr>
      <t>IL</t>
    </r>
  </si>
  <si>
    <r>
      <rPr>
        <sz val="11"/>
        <color rgb="FF000000"/>
        <rFont val="Calibri"/>
        <family val="2"/>
      </rPr>
      <t>USAA</t>
    </r>
  </si>
  <si>
    <r>
      <rPr>
        <sz val="11"/>
        <color rgb="FF000000"/>
        <rFont val="Calibri"/>
        <family val="2"/>
      </rPr>
      <t>Times Square</t>
    </r>
  </si>
  <si>
    <r>
      <rPr>
        <sz val="11"/>
        <color rgb="FF000000"/>
        <rFont val="Calibri"/>
        <family val="2"/>
      </rPr>
      <t>AAA</t>
    </r>
  </si>
  <si>
    <r>
      <rPr>
        <sz val="11"/>
        <color rgb="FF000000"/>
        <rFont val="Calibri"/>
        <family val="2"/>
      </rPr>
      <t>G002</t>
    </r>
  </si>
  <si>
    <r>
      <rPr>
        <sz val="11"/>
        <color rgb="FF000000"/>
        <rFont val="Calibri"/>
        <family val="2"/>
      </rPr>
      <t>NY</t>
    </r>
  </si>
  <si>
    <r>
      <rPr>
        <sz val="11"/>
        <color rgb="FF000000"/>
        <rFont val="Calibri"/>
        <family val="2"/>
      </rPr>
      <t>USA7</t>
    </r>
  </si>
  <si>
    <r>
      <rPr>
        <sz val="11"/>
        <color rgb="FF000000"/>
        <rFont val="Calibri"/>
        <family val="2"/>
      </rPr>
      <t>CA</t>
    </r>
  </si>
  <si>
    <r>
      <rPr>
        <sz val="11"/>
        <color rgb="FF000000"/>
        <rFont val="Calibri"/>
        <family val="2"/>
      </rPr>
      <t>USA3</t>
    </r>
  </si>
  <si>
    <r>
      <rPr>
        <sz val="11"/>
        <color rgb="FF222222"/>
        <rFont val="Calibri"/>
        <family val="2"/>
      </rPr>
      <t>Columbiana Centre</t>
    </r>
  </si>
  <si>
    <r>
      <rPr>
        <sz val="11"/>
        <color rgb="FF000000"/>
        <rFont val="Calibri"/>
        <family val="2"/>
      </rPr>
      <t>B</t>
    </r>
  </si>
  <si>
    <r>
      <rPr>
        <sz val="11"/>
        <color rgb="FF000000"/>
        <rFont val="Calibri"/>
        <family val="2"/>
      </rPr>
      <t>SC</t>
    </r>
  </si>
  <si>
    <r>
      <rPr>
        <sz val="11"/>
        <color rgb="FF000000"/>
        <rFont val="Calibri"/>
        <family val="2"/>
      </rPr>
      <t>USA8</t>
    </r>
  </si>
  <si>
    <r>
      <rPr>
        <sz val="11"/>
        <color rgb="FF222222"/>
        <rFont val="Calibri"/>
        <family val="2"/>
      </rPr>
      <t>The SoNo Collection</t>
    </r>
  </si>
  <si>
    <r>
      <rPr>
        <sz val="11"/>
        <color rgb="FF000000"/>
        <rFont val="Calibri"/>
        <family val="2"/>
      </rPr>
      <t>1.5 Set Up 陈列中待开业</t>
    </r>
  </si>
  <si>
    <r>
      <rPr>
        <sz val="11"/>
        <color rgb="FF000000"/>
        <rFont val="Calibri"/>
        <family val="2"/>
      </rPr>
      <t>CT</t>
    </r>
  </si>
  <si>
    <r>
      <rPr>
        <sz val="11"/>
        <color rgb="FF000000"/>
        <rFont val="Calibri"/>
        <family val="2"/>
      </rPr>
      <t>USA1</t>
    </r>
  </si>
  <si>
    <r>
      <rPr>
        <sz val="11"/>
        <color rgb="FF000000"/>
        <rFont val="Calibri"/>
        <family val="2"/>
      </rPr>
      <t>The Oaks</t>
    </r>
  </si>
  <si>
    <r>
      <rPr>
        <sz val="11"/>
        <color rgb="FF000000"/>
        <rFont val="Calibri"/>
        <family val="2"/>
      </rPr>
      <t>N009</t>
    </r>
  </si>
  <si>
    <r>
      <rPr>
        <sz val="11"/>
        <color rgb="FF000000"/>
        <rFont val="Calibri"/>
        <family val="2"/>
      </rPr>
      <t>US97</t>
    </r>
  </si>
  <si>
    <r>
      <rPr>
        <sz val="11"/>
        <color rgb="FF222222"/>
        <rFont val="Calibri"/>
        <family val="2"/>
      </rPr>
      <t>Northridge Fashion Center</t>
    </r>
  </si>
  <si>
    <r>
      <rPr>
        <sz val="11"/>
        <color rgb="FF000000"/>
        <rFont val="Calibri"/>
        <family val="2"/>
      </rPr>
      <t>2 Under Construction 施工中</t>
    </r>
  </si>
  <si>
    <r>
      <rPr>
        <sz val="11"/>
        <color rgb="FF000000"/>
        <rFont val="Calibri"/>
        <family val="2"/>
      </rPr>
      <t>USA9</t>
    </r>
  </si>
  <si>
    <r>
      <rPr>
        <sz val="11"/>
        <color rgb="FF222222"/>
        <rFont val="Calibri"/>
        <family val="2"/>
      </rPr>
      <t>Mall of Louisiana</t>
    </r>
  </si>
  <si>
    <r>
      <rPr>
        <sz val="11"/>
        <color rgb="FF000000"/>
        <rFont val="Calibri"/>
        <family val="2"/>
      </rPr>
      <t>A</t>
    </r>
  </si>
  <si>
    <r>
      <rPr>
        <sz val="11"/>
        <color rgb="FF000000"/>
        <rFont val="Calibri"/>
        <family val="2"/>
      </rPr>
      <t>LA</t>
    </r>
  </si>
  <si>
    <r>
      <rPr>
        <sz val="11"/>
        <color rgb="FF000000"/>
        <rFont val="Calibri"/>
        <family val="2"/>
      </rPr>
      <t>USA4</t>
    </r>
  </si>
  <si>
    <r>
      <rPr>
        <sz val="11"/>
        <color rgb="FF000000"/>
        <rFont val="Calibri"/>
        <family val="2"/>
      </rPr>
      <t>Arrowhead Towne Center</t>
    </r>
  </si>
  <si>
    <r>
      <rPr>
        <sz val="11"/>
        <color rgb="FF000000"/>
        <rFont val="Calibri"/>
        <family val="2"/>
      </rPr>
      <t>AZ</t>
    </r>
  </si>
  <si>
    <r>
      <rPr>
        <sz val="11"/>
        <color rgb="FF000000"/>
        <rFont val="Calibri"/>
        <family val="2"/>
      </rPr>
      <t>US94</t>
    </r>
  </si>
  <si>
    <r>
      <rPr>
        <sz val="11"/>
        <color rgb="FF222222"/>
        <rFont val="Calibri"/>
        <family val="2"/>
      </rPr>
      <t>Fashion Show</t>
    </r>
  </si>
  <si>
    <r>
      <rPr>
        <sz val="11"/>
        <color rgb="FF000000"/>
        <rFont val="Calibri"/>
        <family val="2"/>
      </rPr>
      <t>NV</t>
    </r>
  </si>
  <si>
    <r>
      <rPr>
        <sz val="11"/>
        <color rgb="FF000000"/>
        <rFont val="Calibri"/>
        <family val="2"/>
      </rPr>
      <t>USA2</t>
    </r>
  </si>
  <si>
    <r>
      <rPr>
        <sz val="11"/>
        <color rgb="FF222222"/>
        <rFont val="Calibri"/>
        <family val="2"/>
      </rPr>
      <t>Vintage Faire</t>
    </r>
  </si>
  <si>
    <r>
      <rPr>
        <sz val="11"/>
        <color rgb="FF000000"/>
        <rFont val="Calibri"/>
        <family val="2"/>
      </rPr>
      <t>B-</t>
    </r>
  </si>
  <si>
    <r>
      <rPr>
        <sz val="11"/>
        <color rgb="FF000000"/>
        <rFont val="Calibri"/>
        <family val="2"/>
      </rPr>
      <t>S10</t>
    </r>
  </si>
  <si>
    <r>
      <rPr>
        <sz val="11"/>
        <color rgb="FF000000"/>
        <rFont val="Calibri"/>
        <family val="2"/>
      </rPr>
      <t>USA5</t>
    </r>
  </si>
  <si>
    <r>
      <rPr>
        <sz val="11"/>
        <color rgb="FF000000"/>
        <rFont val="Calibri"/>
        <family val="2"/>
      </rPr>
      <t>Chandler Fashion Center</t>
    </r>
  </si>
  <si>
    <r>
      <rPr>
        <sz val="11"/>
        <color rgb="FF000000"/>
        <rFont val="Calibri"/>
        <family val="2"/>
      </rPr>
      <t>US95</t>
    </r>
  </si>
  <si>
    <r>
      <rPr>
        <sz val="11"/>
        <color rgb="FF222222"/>
        <rFont val="Calibri"/>
        <family val="2"/>
      </rPr>
      <t>Galleria at Sunset</t>
    </r>
  </si>
  <si>
    <r>
      <rPr>
        <sz val="11"/>
        <color rgb="FF000000"/>
        <rFont val="Calibri"/>
        <family val="2"/>
      </rPr>
      <t>USB6</t>
    </r>
  </si>
  <si>
    <r>
      <rPr>
        <sz val="11"/>
        <color rgb="FF222222"/>
        <rFont val="Calibri"/>
        <family val="2"/>
      </rPr>
      <t>Annapolis</t>
    </r>
  </si>
  <si>
    <r>
      <rPr>
        <sz val="11"/>
        <color rgb="FF000000"/>
        <rFont val="Calibri"/>
        <family val="2"/>
      </rPr>
      <t>MD</t>
    </r>
  </si>
  <si>
    <r>
      <rPr>
        <sz val="11"/>
        <color rgb="FF000000"/>
        <rFont val="Calibri"/>
        <family val="2"/>
      </rPr>
      <t>USB8</t>
    </r>
  </si>
  <si>
    <r>
      <rPr>
        <sz val="11"/>
        <color rgb="FF222222"/>
        <rFont val="Calibri"/>
        <family val="2"/>
      </rPr>
      <t>Great Lakes Crossing</t>
    </r>
  </si>
  <si>
    <r>
      <rPr>
        <sz val="11"/>
        <color rgb="FF000000"/>
        <rFont val="Calibri"/>
        <family val="2"/>
      </rPr>
      <t>MI</t>
    </r>
  </si>
  <si>
    <r>
      <rPr>
        <sz val="11"/>
        <color rgb="FF000000"/>
        <rFont val="Calibri"/>
        <family val="2"/>
      </rPr>
      <t>US96</t>
    </r>
  </si>
  <si>
    <r>
      <rPr>
        <sz val="11"/>
        <color rgb="FF222222"/>
        <rFont val="Calibri"/>
        <family val="2"/>
      </rPr>
      <t>Clackamas</t>
    </r>
  </si>
  <si>
    <r>
      <rPr>
        <sz val="11"/>
        <color rgb="FF000000"/>
        <rFont val="Calibri"/>
        <family val="2"/>
      </rPr>
      <t>B107</t>
    </r>
  </si>
  <si>
    <r>
      <rPr>
        <sz val="11"/>
        <color rgb="FF000000"/>
        <rFont val="Calibri"/>
        <family val="2"/>
      </rPr>
      <t>OR</t>
    </r>
  </si>
  <si>
    <r>
      <rPr>
        <sz val="11"/>
        <color rgb="FF000000"/>
        <rFont val="Calibri"/>
        <family val="2"/>
      </rPr>
      <t>USB4</t>
    </r>
  </si>
  <si>
    <r>
      <rPr>
        <sz val="11"/>
        <color rgb="FF222222"/>
        <rFont val="Calibri"/>
        <family val="2"/>
      </rPr>
      <t>Park City Center</t>
    </r>
  </si>
  <si>
    <r>
      <rPr>
        <sz val="11"/>
        <color rgb="FF000000"/>
        <rFont val="Calibri"/>
        <family val="2"/>
      </rPr>
      <t>2.5 Barricade/Permiting 围挡/报批</t>
    </r>
  </si>
  <si>
    <r>
      <rPr>
        <sz val="11"/>
        <color rgb="FF000000"/>
        <rFont val="Calibri"/>
        <family val="2"/>
      </rPr>
      <t>G0765</t>
    </r>
  </si>
  <si>
    <r>
      <rPr>
        <sz val="11"/>
        <color rgb="FF000000"/>
        <rFont val="Calibri"/>
        <family val="2"/>
      </rPr>
      <t>PA</t>
    </r>
  </si>
  <si>
    <r>
      <rPr>
        <sz val="11"/>
        <color rgb="FF000000"/>
        <rFont val="Calibri"/>
        <family val="2"/>
      </rPr>
      <t>USB7</t>
    </r>
  </si>
  <si>
    <r>
      <rPr>
        <sz val="11"/>
        <color rgb="FF222222"/>
        <rFont val="Calibri"/>
        <family val="2"/>
      </rPr>
      <t>Tucson Mall</t>
    </r>
  </si>
  <si>
    <r>
      <rPr>
        <sz val="11"/>
        <color rgb="FF000000"/>
        <rFont val="Calibri"/>
        <family val="2"/>
      </rPr>
      <t>USB2</t>
    </r>
  </si>
  <si>
    <r>
      <rPr>
        <sz val="11"/>
        <color rgb="FF222222"/>
        <rFont val="Calibri"/>
        <family val="2"/>
      </rPr>
      <t>Coronado</t>
    </r>
  </si>
  <si>
    <r>
      <rPr>
        <sz val="11"/>
        <color rgb="FF000000"/>
        <rFont val="Calibri"/>
        <family val="2"/>
      </rPr>
      <t>G04</t>
    </r>
  </si>
  <si>
    <r>
      <rPr>
        <sz val="11"/>
        <color rgb="FF000000"/>
        <rFont val="Calibri"/>
        <family val="2"/>
      </rPr>
      <t>NM</t>
    </r>
  </si>
  <si>
    <r>
      <rPr>
        <sz val="11"/>
        <color rgb="FF000000"/>
        <rFont val="Calibri"/>
        <family val="2"/>
      </rPr>
      <t>USB5</t>
    </r>
  </si>
  <si>
    <r>
      <rPr>
        <sz val="11"/>
        <color rgb="FF222222"/>
        <rFont val="Calibri"/>
        <family val="2"/>
      </rPr>
      <t>Deptford</t>
    </r>
  </si>
  <si>
    <r>
      <rPr>
        <sz val="11"/>
        <color rgb="FF000000"/>
        <rFont val="Calibri"/>
        <family val="2"/>
      </rPr>
      <t>3 Lease Fully Executed 已签约待施工</t>
    </r>
  </si>
  <si>
    <r>
      <rPr>
        <sz val="11"/>
        <color rgb="FF000000"/>
        <rFont val="Calibri"/>
        <family val="2"/>
      </rPr>
      <t>NJ</t>
    </r>
  </si>
  <si>
    <r>
      <rPr>
        <sz val="11"/>
        <color rgb="FF000000"/>
        <rFont val="Calibri"/>
        <family val="2"/>
      </rPr>
      <t>USD7</t>
    </r>
  </si>
  <si>
    <r>
      <rPr>
        <sz val="11"/>
        <color rgb="FF000000"/>
        <rFont val="Calibri"/>
        <family val="2"/>
      </rPr>
      <t>Arizona Mills</t>
    </r>
  </si>
  <si>
    <r>
      <rPr>
        <sz val="11"/>
        <color rgb="FF000000"/>
        <rFont val="Calibri"/>
        <family val="2"/>
      </rPr>
      <t>USC8</t>
    </r>
  </si>
  <si>
    <r>
      <rPr>
        <sz val="11"/>
        <color rgb="FF000000"/>
        <rFont val="Calibri"/>
        <family val="2"/>
      </rPr>
      <t>Coral Square Mall</t>
    </r>
  </si>
  <si>
    <r>
      <rPr>
        <sz val="11"/>
        <color rgb="FF000000"/>
        <rFont val="Calibri"/>
        <family val="2"/>
      </rPr>
      <t>C+</t>
    </r>
  </si>
  <si>
    <r>
      <rPr>
        <sz val="11"/>
        <color rgb="FF000000"/>
        <rFont val="Calibri"/>
        <family val="2"/>
      </rPr>
      <t>9161A</t>
    </r>
  </si>
  <si>
    <r>
      <rPr>
        <sz val="11"/>
        <color rgb="FF000000"/>
        <rFont val="Calibri"/>
        <family val="2"/>
      </rPr>
      <t>FL</t>
    </r>
  </si>
  <si>
    <r>
      <rPr>
        <sz val="11"/>
        <color rgb="FF000000"/>
        <rFont val="Calibri"/>
        <family val="2"/>
      </rPr>
      <t>USC9</t>
    </r>
  </si>
  <si>
    <r>
      <rPr>
        <sz val="11"/>
        <color rgb="FF000000"/>
        <rFont val="Calibri"/>
        <family val="2"/>
      </rPr>
      <t>Mall of Georgia</t>
    </r>
  </si>
  <si>
    <r>
      <rPr>
        <sz val="11"/>
        <color rgb="FF000000"/>
        <rFont val="Calibri"/>
        <family val="2"/>
      </rPr>
      <t>B+</t>
    </r>
  </si>
  <si>
    <r>
      <rPr>
        <sz val="11"/>
        <color rgb="FF000000"/>
        <rFont val="Calibri"/>
        <family val="2"/>
      </rPr>
      <t>2049A</t>
    </r>
  </si>
  <si>
    <r>
      <rPr>
        <sz val="11"/>
        <color rgb="FF000000"/>
        <rFont val="Calibri"/>
        <family val="2"/>
      </rPr>
      <t>GA</t>
    </r>
  </si>
  <si>
    <r>
      <rPr>
        <sz val="11"/>
        <color rgb="FF000000"/>
        <rFont val="Calibri"/>
        <family val="2"/>
      </rPr>
      <t>USD3</t>
    </r>
  </si>
  <si>
    <r>
      <rPr>
        <sz val="11"/>
        <color rgb="FF000000"/>
        <rFont val="Calibri"/>
        <family val="2"/>
      </rPr>
      <t>Concord Mills</t>
    </r>
  </si>
  <si>
    <r>
      <rPr>
        <sz val="11"/>
        <color rgb="FF000000"/>
        <rFont val="Calibri"/>
        <family val="2"/>
      </rPr>
      <t>NC</t>
    </r>
  </si>
  <si>
    <r>
      <rPr>
        <sz val="11"/>
        <color rgb="FF000000"/>
        <rFont val="Calibri"/>
        <family val="2"/>
      </rPr>
      <t>USB1</t>
    </r>
  </si>
  <si>
    <r>
      <rPr>
        <sz val="11"/>
        <color rgb="FF222222"/>
        <rFont val="Calibri"/>
        <family val="2"/>
      </rPr>
      <t>Maine Mall</t>
    </r>
  </si>
  <si>
    <r>
      <rPr>
        <sz val="11"/>
        <color rgb="FF000000"/>
        <rFont val="Calibri"/>
        <family val="2"/>
      </rPr>
      <t>W149</t>
    </r>
  </si>
  <si>
    <r>
      <rPr>
        <sz val="11"/>
        <color rgb="FF000000"/>
        <rFont val="Calibri"/>
        <family val="2"/>
      </rPr>
      <t>ME</t>
    </r>
  </si>
  <si>
    <r>
      <rPr>
        <sz val="11"/>
        <color rgb="FF000000"/>
        <rFont val="Calibri"/>
        <family val="2"/>
      </rPr>
      <t>USG2</t>
    </r>
  </si>
  <si>
    <r>
      <rPr>
        <sz val="11"/>
        <color rgb="FF000000"/>
        <rFont val="Calibri"/>
        <family val="2"/>
      </rPr>
      <t>Eastview Mall</t>
    </r>
  </si>
  <si>
    <r>
      <rPr>
        <sz val="11"/>
        <color rgb="FF000000"/>
        <rFont val="Calibri"/>
        <family val="2"/>
      </rPr>
      <t>#130</t>
    </r>
  </si>
  <si>
    <r>
      <rPr>
        <sz val="11"/>
        <color rgb="FF000000"/>
        <rFont val="Calibri"/>
        <family val="2"/>
      </rPr>
      <t>USF6</t>
    </r>
  </si>
  <si>
    <r>
      <rPr>
        <sz val="11"/>
        <color rgb="FF000000"/>
        <rFont val="Calibri"/>
        <family val="2"/>
      </rPr>
      <t>Mall at Wellington Green</t>
    </r>
  </si>
  <si>
    <r>
      <rPr>
        <sz val="11"/>
        <color rgb="FF000000"/>
        <rFont val="Calibri"/>
        <family val="2"/>
      </rPr>
      <t>USG3</t>
    </r>
  </si>
  <si>
    <r>
      <rPr>
        <sz val="11"/>
        <color rgb="FF000000"/>
        <rFont val="Calibri"/>
        <family val="2"/>
      </rPr>
      <t>Penn Square</t>
    </r>
  </si>
  <si>
    <r>
      <rPr>
        <sz val="11"/>
        <color rgb="FF000000"/>
        <rFont val="Calibri"/>
        <family val="2"/>
      </rPr>
      <t>OK</t>
    </r>
  </si>
  <si>
    <r>
      <rPr>
        <sz val="11"/>
        <color rgb="FF000000"/>
        <rFont val="Calibri"/>
        <family val="2"/>
      </rPr>
      <t>USG4</t>
    </r>
  </si>
  <si>
    <r>
      <rPr>
        <sz val="11"/>
        <color rgb="FF000000"/>
        <rFont val="Calibri"/>
        <family val="2"/>
      </rPr>
      <t>Woodland Hills</t>
    </r>
  </si>
  <si>
    <r>
      <rPr>
        <sz val="11"/>
        <color rgb="FF000000"/>
        <rFont val="Calibri"/>
        <family val="2"/>
      </rPr>
      <t>0113B</t>
    </r>
  </si>
  <si>
    <r>
      <rPr>
        <sz val="11"/>
        <color rgb="FF000000"/>
        <rFont val="Calibri"/>
        <family val="2"/>
      </rPr>
      <t>USD6</t>
    </r>
  </si>
  <si>
    <r>
      <rPr>
        <sz val="11"/>
        <color rgb="FF000000"/>
        <rFont val="Calibri"/>
        <family val="2"/>
      </rPr>
      <t>Sugarloaf Mills</t>
    </r>
  </si>
  <si>
    <r>
      <rPr>
        <sz val="11"/>
        <color rgb="FF000000"/>
        <rFont val="Calibri"/>
        <family val="2"/>
      </rPr>
      <t>USB9</t>
    </r>
  </si>
  <si>
    <r>
      <rPr>
        <sz val="11"/>
        <color rgb="FF222222"/>
        <rFont val="Calibri"/>
        <family val="2"/>
      </rPr>
      <t>Florida Mall</t>
    </r>
  </si>
  <si>
    <r>
      <rPr>
        <sz val="11"/>
        <color rgb="FF000000"/>
        <rFont val="Calibri"/>
        <family val="2"/>
      </rPr>
      <t>AA</t>
    </r>
  </si>
  <si>
    <r>
      <rPr>
        <sz val="11"/>
        <color rgb="FF000000"/>
        <rFont val="Calibri"/>
        <family val="2"/>
      </rPr>
      <t>USG1</t>
    </r>
  </si>
  <si>
    <r>
      <rPr>
        <sz val="11"/>
        <color rgb="FF000000"/>
        <rFont val="Calibri"/>
        <family val="2"/>
      </rPr>
      <t>Hillsdale</t>
    </r>
  </si>
  <si>
    <r>
      <rPr>
        <sz val="11"/>
        <color rgb="FF000000"/>
        <rFont val="Calibri"/>
        <family val="2"/>
      </rPr>
      <t>USC1</t>
    </r>
  </si>
  <si>
    <r>
      <rPr>
        <sz val="11"/>
        <color rgb="FF222222"/>
        <rFont val="Calibri"/>
        <family val="2"/>
      </rPr>
      <t>Park Place</t>
    </r>
  </si>
  <si>
    <r>
      <rPr>
        <sz val="11"/>
        <color rgb="FF000000"/>
        <rFont val="Calibri"/>
        <family val="2"/>
      </rPr>
      <t>USC6</t>
    </r>
  </si>
  <si>
    <r>
      <rPr>
        <sz val="11"/>
        <color rgb="FF000000"/>
        <rFont val="Calibri"/>
        <family val="2"/>
      </rPr>
      <t>Tacoma</t>
    </r>
  </si>
  <si>
    <r>
      <rPr>
        <sz val="11"/>
        <color rgb="FF000000"/>
        <rFont val="Calibri"/>
        <family val="2"/>
      </rPr>
      <t>USC5</t>
    </r>
  </si>
  <si>
    <r>
      <rPr>
        <sz val="11"/>
        <color rgb="FF222222"/>
        <rFont val="Calibri"/>
        <family val="2"/>
      </rPr>
      <t>Harlem and Irving Mall</t>
    </r>
  </si>
  <si>
    <r>
      <rPr>
        <sz val="11"/>
        <color rgb="FF000000"/>
        <rFont val="Calibri"/>
        <family val="2"/>
      </rPr>
      <t>4 At Lease 合同洽谈</t>
    </r>
  </si>
  <si>
    <r>
      <rPr>
        <sz val="11"/>
        <color rgb="FF000000"/>
        <rFont val="Calibri"/>
        <family val="2"/>
      </rPr>
      <t>US98</t>
    </r>
  </si>
  <si>
    <r>
      <rPr>
        <sz val="11"/>
        <color rgb="FF222222"/>
        <rFont val="Calibri"/>
        <family val="2"/>
      </rPr>
      <t>The Shops at Montebello</t>
    </r>
  </si>
  <si>
    <r>
      <rPr>
        <sz val="11"/>
        <color rgb="FF000000"/>
        <rFont val="Calibri"/>
        <family val="2"/>
      </rPr>
      <t>D12A</t>
    </r>
  </si>
  <si>
    <r>
      <rPr>
        <sz val="11"/>
        <color rgb="FF000000"/>
        <rFont val="Calibri"/>
        <family val="2"/>
      </rPr>
      <t>USD8</t>
    </r>
  </si>
  <si>
    <r>
      <rPr>
        <sz val="11"/>
        <color rgb="FF222222"/>
        <rFont val="Calibri"/>
        <family val="2"/>
      </rPr>
      <t>Greenwood</t>
    </r>
  </si>
  <si>
    <r>
      <rPr>
        <sz val="11"/>
        <color rgb="FF000000"/>
        <rFont val="Calibri"/>
        <family val="2"/>
      </rPr>
      <t>G08A</t>
    </r>
  </si>
  <si>
    <r>
      <rPr>
        <sz val="11"/>
        <color rgb="FF000000"/>
        <rFont val="Calibri"/>
        <family val="2"/>
      </rPr>
      <t>IN</t>
    </r>
  </si>
  <si>
    <r>
      <rPr>
        <sz val="11"/>
        <color rgb="FF000000"/>
        <rFont val="Calibri"/>
        <family val="2"/>
      </rPr>
      <t>USD9</t>
    </r>
  </si>
  <si>
    <r>
      <rPr>
        <sz val="11"/>
        <color rgb="FF000000"/>
        <rFont val="Calibri"/>
        <family val="2"/>
      </rPr>
      <t>Castleton Square Mall</t>
    </r>
  </si>
  <si>
    <r>
      <rPr>
        <sz val="11"/>
        <color rgb="FF000000"/>
        <rFont val="Calibri"/>
        <family val="2"/>
      </rPr>
      <t>USG5</t>
    </r>
  </si>
  <si>
    <r>
      <rPr>
        <sz val="11"/>
        <color rgb="FF000000"/>
        <rFont val="Calibri"/>
        <family val="2"/>
      </rPr>
      <t>Orland Square</t>
    </r>
  </si>
  <si>
    <r>
      <rPr>
        <sz val="11"/>
        <color rgb="FF000000"/>
        <rFont val="Calibri"/>
        <family val="2"/>
      </rPr>
      <t>D06A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</si>
</sst>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$#,##0_);[Red]\(\$#,##0\)"/>
    <numFmt numFmtId="165" formatCode="\$#,##0.00_);[Red]\(\$#,##0.00\)"/>
    <numFmt numFmtId="166" formatCode="_(* #,##0_);_(* \(#,##0\);_(* &quot;-&quot;??_);_(@_)"/>
    <numFmt numFmtId="167" formatCode="0_);[Red]\(0\)"/>
    <numFmt numFmtId="168" formatCode="yyyy/m/d;@"/>
    <numFmt numFmtId="169" formatCode="0_ "/>
    <numFmt numFmtId="170" formatCode="0\.0,"/>
  </numFmts>
  <fonts count="13">
    <font>
      <sz val="11"/>
      <color theme="1"/>
      <name val="等线"/>
      <charset val="134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b/>
      <sz val="1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AFAF1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rgb="FFE2EFD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2EFDA"/>
      </left>
      <right style="thin">
        <color rgb="FF000000"/>
      </right>
      <top style="thin">
        <color rgb="FF000000"/>
      </top>
      <bottom style="thin">
        <color rgb="FFE2EFDA"/>
      </bottom>
      <diagonal/>
    </border>
    <border>
      <left style="thin">
        <color rgb="FF000000"/>
      </left>
      <right style="thin">
        <color rgb="FF000000"/>
      </right>
      <top style="thin">
        <color rgb="FFE2EFDA"/>
      </top>
      <bottom style="thin">
        <color rgb="FF000000"/>
      </bottom>
      <diagonal/>
    </border>
    <border>
      <left style="thin">
        <color rgb="FFE2EFDA"/>
      </left>
      <right style="thin">
        <color rgb="FF000000"/>
      </right>
      <top style="thin">
        <color rgb="FFE2EFDA"/>
      </top>
      <bottom style="thin">
        <color rgb="FF000000"/>
      </bottom>
      <diagonal/>
    </border>
    <border>
      <left style="thin">
        <color rgb="FF000000"/>
      </left>
      <right style="thin">
        <color rgb="FFE2EFDA"/>
      </right>
      <top style="thin">
        <color rgb="FF000000"/>
      </top>
      <bottom style="thin">
        <color rgb="FFE2EFDA"/>
      </bottom>
      <diagonal/>
    </border>
    <border>
      <left style="thin">
        <color rgb="FF000000"/>
      </left>
      <right style="thin">
        <color rgb="FF000000"/>
      </right>
      <top style="thin">
        <color rgb="FFE2EFDA"/>
      </top>
      <bottom/>
      <diagonal/>
    </border>
    <border>
      <left style="thin">
        <color rgb="FF000000"/>
      </left>
      <right style="thin">
        <color rgb="FFE2EFDA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2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2EFDA"/>
      </top>
      <bottom style="thin">
        <color rgb="FFE2EFD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2EFDA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8840296639912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/>
    </xf>
    <xf numFmtId="15" fontId="1" fillId="2" borderId="4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14" fontId="1" fillId="2" borderId="14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14" fontId="1" fillId="2" borderId="13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4" fontId="1" fillId="0" borderId="15" xfId="0" applyNumberFormat="1" applyFont="1" applyBorder="1" applyAlignment="1">
      <alignment horizont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168" fontId="0" fillId="0" borderId="0" xfId="0" applyNumberFormat="1">
      <alignment vertical="center"/>
    </xf>
    <xf numFmtId="0" fontId="4" fillId="6" borderId="17" xfId="0" applyFont="1" applyFill="1" applyBorder="1" applyAlignment="1">
      <alignment horizontal="center" vertical="center" wrapText="1"/>
    </xf>
    <xf numFmtId="20" fontId="5" fillId="6" borderId="17" xfId="0" applyNumberFormat="1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67" fontId="5" fillId="6" borderId="17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7" fillId="7" borderId="17" xfId="2" applyFont="1" applyFill="1" applyBorder="1" applyAlignment="1">
      <alignment horizontal="center" vertical="center"/>
    </xf>
    <xf numFmtId="167" fontId="7" fillId="7" borderId="17" xfId="2" applyNumberFormat="1" applyFont="1" applyFill="1" applyBorder="1" applyAlignment="1">
      <alignment horizontal="center" vertical="center"/>
    </xf>
    <xf numFmtId="167" fontId="6" fillId="7" borderId="17" xfId="0" applyNumberFormat="1" applyFont="1" applyFill="1" applyBorder="1" applyAlignment="1">
      <alignment horizontal="center"/>
    </xf>
    <xf numFmtId="167" fontId="5" fillId="8" borderId="17" xfId="0" applyNumberFormat="1" applyFont="1" applyFill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/>
    </xf>
    <xf numFmtId="169" fontId="6" fillId="7" borderId="17" xfId="0" applyNumberFormat="1" applyFont="1" applyFill="1" applyBorder="1" applyAlignment="1">
      <alignment horizontal="center"/>
    </xf>
    <xf numFmtId="0" fontId="7" fillId="0" borderId="17" xfId="2" applyFont="1" applyBorder="1" applyAlignment="1">
      <alignment horizontal="center" vertical="center"/>
    </xf>
    <xf numFmtId="169" fontId="7" fillId="0" borderId="17" xfId="2" applyNumberFormat="1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/>
    </xf>
    <xf numFmtId="169" fontId="7" fillId="7" borderId="17" xfId="2" applyNumberFormat="1" applyFont="1" applyFill="1" applyBorder="1" applyAlignment="1">
      <alignment horizontal="center" vertical="center"/>
    </xf>
    <xf numFmtId="167" fontId="7" fillId="0" borderId="17" xfId="2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168" fontId="6" fillId="0" borderId="17" xfId="0" applyNumberFormat="1" applyFont="1" applyBorder="1" applyAlignment="1">
      <alignment horizontal="center"/>
    </xf>
    <xf numFmtId="169" fontId="0" fillId="0" borderId="0" xfId="0" applyNumberFormat="1" applyAlignment="1">
      <alignment horizontal="center" vertical="center"/>
    </xf>
    <xf numFmtId="170" fontId="4" fillId="9" borderId="18" xfId="0" applyNumberFormat="1" applyFont="1" applyFill="1" applyBorder="1" applyAlignment="1">
      <alignment horizontal="center" vertical="center" wrapText="1"/>
    </xf>
    <xf numFmtId="170" fontId="5" fillId="9" borderId="17" xfId="0" applyNumberFormat="1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170" fontId="6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70" fontId="5" fillId="11" borderId="17" xfId="0" applyNumberFormat="1" applyFont="1" applyFill="1" applyBorder="1" applyAlignment="1">
      <alignment horizontal="center" vertical="center" wrapText="1"/>
    </xf>
    <xf numFmtId="14" fontId="6" fillId="0" borderId="17" xfId="0" applyNumberFormat="1" applyFont="1" applyBorder="1" applyAlignment="1">
      <alignment horizontal="center"/>
    </xf>
    <xf numFmtId="9" fontId="5" fillId="8" borderId="17" xfId="1" applyFont="1" applyFill="1" applyBorder="1" applyAlignment="1">
      <alignment horizontal="center" vertical="center" wrapText="1"/>
    </xf>
    <xf numFmtId="9" fontId="6" fillId="0" borderId="17" xfId="1" applyFont="1" applyBorder="1" applyAlignment="1">
      <alignment horizontal="center"/>
    </xf>
    <xf numFmtId="9" fontId="6" fillId="12" borderId="17" xfId="1" applyFont="1" applyFill="1" applyBorder="1" applyAlignment="1">
      <alignment horizontal="center"/>
    </xf>
    <xf numFmtId="169" fontId="6" fillId="0" borderId="17" xfId="0" applyNumberFormat="1" applyFont="1" applyBorder="1" applyAlignment="1">
      <alignment horizontal="center"/>
    </xf>
    <xf numFmtId="0" fontId="4" fillId="10" borderId="20" xfId="0" applyFont="1" applyFill="1" applyBorder="1" applyAlignment="1">
      <alignment horizontal="center" vertical="center" wrapText="1"/>
    </xf>
    <xf numFmtId="167" fontId="5" fillId="9" borderId="17" xfId="0" applyNumberFormat="1" applyFont="1" applyFill="1" applyBorder="1" applyAlignment="1">
      <alignment horizontal="center" vertical="center" wrapText="1"/>
    </xf>
    <xf numFmtId="167" fontId="5" fillId="10" borderId="17" xfId="0" applyNumberFormat="1" applyFont="1" applyFill="1" applyBorder="1" applyAlignment="1">
      <alignment horizontal="center" vertical="center" wrapText="1"/>
    </xf>
    <xf numFmtId="167" fontId="5" fillId="13" borderId="17" xfId="0" applyNumberFormat="1" applyFont="1" applyFill="1" applyBorder="1" applyAlignment="1">
      <alignment horizontal="center" vertical="center" wrapText="1"/>
    </xf>
    <xf numFmtId="167" fontId="6" fillId="4" borderId="17" xfId="0" applyNumberFormat="1" applyFont="1" applyFill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0" fontId="4" fillId="10" borderId="0" xfId="0" applyFont="1" applyFill="1" applyAlignment="1">
      <alignment horizontal="center" vertical="center" wrapText="1"/>
    </xf>
    <xf numFmtId="167" fontId="5" fillId="14" borderId="17" xfId="0" applyNumberFormat="1" applyFont="1" applyFill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0" fillId="9" borderId="17" xfId="0" applyFont="1" applyFill="1" applyBorder="1" applyAlignment="1">
      <alignment horizontal="center" vertical="center"/>
    </xf>
    <xf numFmtId="167" fontId="10" fillId="9" borderId="17" xfId="0" applyNumberFormat="1" applyFont="1" applyFill="1" applyBorder="1" applyAlignment="1">
      <alignment horizontal="center" vertical="center"/>
    </xf>
    <xf numFmtId="169" fontId="8" fillId="15" borderId="17" xfId="0" applyNumberFormat="1" applyFont="1" applyFill="1" applyBorder="1" applyAlignment="1">
      <alignment horizontal="center" vertical="center"/>
    </xf>
    <xf numFmtId="169" fontId="10" fillId="9" borderId="17" xfId="0" applyNumberFormat="1" applyFont="1" applyFill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169" fontId="8" fillId="0" borderId="22" xfId="0" applyNumberFormat="1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/>
    </xf>
    <xf numFmtId="167" fontId="5" fillId="14" borderId="23" xfId="0" applyNumberFormat="1" applyFont="1" applyFill="1" applyBorder="1" applyAlignment="1">
      <alignment horizontal="center" vertical="center" wrapText="1"/>
    </xf>
    <xf numFmtId="167" fontId="5" fillId="17" borderId="1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7" fontId="8" fillId="15" borderId="19" xfId="0" applyNumberFormat="1" applyFont="1" applyFill="1" applyBorder="1" applyAlignment="1">
      <alignment horizontal="center" vertical="center"/>
    </xf>
    <xf numFmtId="167" fontId="8" fillId="15" borderId="21" xfId="0" applyNumberFormat="1" applyFont="1" applyFill="1" applyBorder="1" applyAlignment="1">
      <alignment horizontal="center" vertical="center"/>
    </xf>
    <xf numFmtId="169" fontId="8" fillId="16" borderId="19" xfId="0" applyNumberFormat="1" applyFont="1" applyFill="1" applyBorder="1" applyAlignment="1">
      <alignment horizontal="center" vertical="center"/>
    </xf>
    <xf numFmtId="169" fontId="8" fillId="16" borderId="18" xfId="0" applyNumberFormat="1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167" fontId="4" fillId="9" borderId="18" xfId="0" applyNumberFormat="1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170" fontId="4" fillId="9" borderId="19" xfId="0" applyNumberFormat="1" applyFont="1" applyFill="1" applyBorder="1" applyAlignment="1">
      <alignment horizontal="center" vertical="center" wrapText="1"/>
    </xf>
    <xf numFmtId="170" fontId="4" fillId="9" borderId="18" xfId="0" applyNumberFormat="1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170" fontId="4" fillId="11" borderId="19" xfId="0" applyNumberFormat="1" applyFont="1" applyFill="1" applyBorder="1" applyAlignment="1">
      <alignment horizontal="center" vertical="center" wrapText="1"/>
    </xf>
    <xf numFmtId="170" fontId="4" fillId="11" borderId="18" xfId="0" applyNumberFormat="1" applyFont="1" applyFill="1" applyBorder="1" applyAlignment="1">
      <alignment horizontal="center" vertical="center" wrapText="1"/>
    </xf>
    <xf numFmtId="167" fontId="4" fillId="8" borderId="18" xfId="0" applyNumberFormat="1" applyFont="1" applyFill="1" applyBorder="1" applyAlignment="1">
      <alignment horizontal="center" vertical="center" wrapText="1"/>
    </xf>
    <xf numFmtId="9" fontId="4" fillId="8" borderId="18" xfId="1" applyFont="1" applyFill="1" applyBorder="1" applyAlignment="1">
      <alignment horizontal="center" vertical="center" wrapText="1"/>
    </xf>
  </cellXfs>
  <cellStyles count="4">
    <cellStyle name="Normal" xfId="0" builtinId="0"/>
    <cellStyle name="Percent" xfId="1" builtinId="5"/>
    <cellStyle name="常规 2" xfId="3" xr:uid="{00000000-0005-0000-0000-000032000000}"/>
    <cellStyle name="常规 5" xfId="2" xr:uid="{00000000-0005-0000-0000-000031000000}"/>
  </cellStyles>
  <dxfs count="1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2" formatCode="0.00_);[Red]\(0.0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71" formatCode="0.0_);[Red]\(0.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167" formatCode="0_);[Red]\(0\)"/>
    </dxf>
    <dxf>
      <numFmt numFmtId="16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1351221</xdr:colOff>
      <xdr:row>6</xdr:row>
      <xdr:rowOff>66454</xdr:rowOff>
    </xdr:from>
    <xdr:to>
      <xdr:col>39</xdr:col>
      <xdr:colOff>125058</xdr:colOff>
      <xdr:row>85</xdr:row>
      <xdr:rowOff>106311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>
        <a:xfrm>
          <a:off x="25571450" y="15982315"/>
          <a:ext cx="215900" cy="31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39</xdr:col>
      <xdr:colOff>9525</xdr:colOff>
      <xdr:row>91</xdr:row>
      <xdr:rowOff>85725</xdr:rowOff>
    </xdr:from>
    <xdr:to>
      <xdr:col>39</xdr:col>
      <xdr:colOff>314325</xdr:colOff>
      <xdr:row>93</xdr:row>
      <xdr:rowOff>0</xdr:rowOff>
    </xdr:to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>
        <a:xfrm>
          <a:off x="25580975" y="1719072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45</xdr:col>
      <xdr:colOff>0</xdr:colOff>
      <xdr:row>20</xdr:row>
      <xdr:rowOff>0</xdr:rowOff>
    </xdr:from>
    <xdr:ext cx="304800" cy="263853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>
        <a:xfrm>
          <a:off x="2813494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20</xdr:row>
      <xdr:rowOff>0</xdr:rowOff>
    </xdr:from>
    <xdr:ext cx="304800" cy="263853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>
        <a:xfrm>
          <a:off x="2813494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28</xdr:row>
      <xdr:rowOff>0</xdr:rowOff>
    </xdr:from>
    <xdr:ext cx="304800" cy="263853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>
        <a:xfrm>
          <a:off x="2813494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28</xdr:row>
      <xdr:rowOff>0</xdr:rowOff>
    </xdr:from>
    <xdr:ext cx="304800" cy="263853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>
        <a:xfrm>
          <a:off x="2813494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28</xdr:row>
      <xdr:rowOff>0</xdr:rowOff>
    </xdr:from>
    <xdr:ext cx="304800" cy="263853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>
        <a:xfrm>
          <a:off x="2813494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54</xdr:row>
      <xdr:rowOff>0</xdr:rowOff>
    </xdr:from>
    <xdr:ext cx="304800" cy="263853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>
        <a:xfrm>
          <a:off x="28134945" y="127254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54</xdr:row>
      <xdr:rowOff>0</xdr:rowOff>
    </xdr:from>
    <xdr:ext cx="304800" cy="263853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>
        <a:xfrm>
          <a:off x="28134945" y="127254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20</xdr:row>
      <xdr:rowOff>0</xdr:rowOff>
    </xdr:from>
    <xdr:ext cx="304800" cy="263853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>
        <a:xfrm>
          <a:off x="2813494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20</xdr:row>
      <xdr:rowOff>0</xdr:rowOff>
    </xdr:from>
    <xdr:ext cx="304800" cy="263853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>
        <a:xfrm>
          <a:off x="2813494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51</xdr:row>
      <xdr:rowOff>0</xdr:rowOff>
    </xdr:from>
    <xdr:ext cx="304800" cy="263853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>
        <a:xfrm>
          <a:off x="28134945" y="133197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92</xdr:row>
      <xdr:rowOff>0</xdr:rowOff>
    </xdr:from>
    <xdr:ext cx="304800" cy="263853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>
        <a:xfrm>
          <a:off x="28134945" y="105460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70</xdr:row>
      <xdr:rowOff>0</xdr:rowOff>
    </xdr:from>
    <xdr:ext cx="304800" cy="263853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>
        <a:xfrm>
          <a:off x="28134945" y="797052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72390</xdr:rowOff>
    </xdr:from>
    <xdr:ext cx="304800" cy="263853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>
        <a:xfrm>
          <a:off x="5229860" y="1796986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56</xdr:row>
      <xdr:rowOff>0</xdr:rowOff>
    </xdr:from>
    <xdr:ext cx="304800" cy="263853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>
        <a:xfrm>
          <a:off x="28134945" y="157181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56</xdr:row>
      <xdr:rowOff>0</xdr:rowOff>
    </xdr:from>
    <xdr:ext cx="304800" cy="263853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>
        <a:xfrm>
          <a:off x="28134945" y="157181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56</xdr:row>
      <xdr:rowOff>0</xdr:rowOff>
    </xdr:from>
    <xdr:ext cx="304800" cy="263853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>
        <a:xfrm>
          <a:off x="28134945" y="157181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56</xdr:row>
      <xdr:rowOff>0</xdr:rowOff>
    </xdr:from>
    <xdr:ext cx="304800" cy="263853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>
        <a:xfrm>
          <a:off x="28134945" y="157181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20</xdr:row>
      <xdr:rowOff>0</xdr:rowOff>
    </xdr:from>
    <xdr:ext cx="304800" cy="263853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>
        <a:xfrm>
          <a:off x="2944685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20</xdr:row>
      <xdr:rowOff>0</xdr:rowOff>
    </xdr:from>
    <xdr:ext cx="304800" cy="263853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>
        <a:xfrm>
          <a:off x="2944685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20</xdr:row>
      <xdr:rowOff>0</xdr:rowOff>
    </xdr:from>
    <xdr:ext cx="304800" cy="263853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>
        <a:xfrm>
          <a:off x="2944685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20</xdr:row>
      <xdr:rowOff>0</xdr:rowOff>
    </xdr:from>
    <xdr:ext cx="304800" cy="263853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>
        <a:xfrm>
          <a:off x="29446855" y="91592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51</xdr:row>
      <xdr:rowOff>0</xdr:rowOff>
    </xdr:from>
    <xdr:ext cx="304800" cy="263853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>
        <a:xfrm>
          <a:off x="29446855" y="133197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339725</xdr:colOff>
      <xdr:row>68</xdr:row>
      <xdr:rowOff>44450</xdr:rowOff>
    </xdr:from>
    <xdr:ext cx="304800" cy="438478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>
        <a:xfrm>
          <a:off x="3717925" y="13562330"/>
          <a:ext cx="3048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54</xdr:row>
      <xdr:rowOff>0</xdr:rowOff>
    </xdr:from>
    <xdr:ext cx="304800" cy="263853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>
        <a:xfrm>
          <a:off x="29446855" y="127254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54</xdr:row>
      <xdr:rowOff>0</xdr:rowOff>
    </xdr:from>
    <xdr:ext cx="304800" cy="263853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>
        <a:xfrm>
          <a:off x="29446855" y="127254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54</xdr:row>
      <xdr:rowOff>0</xdr:rowOff>
    </xdr:from>
    <xdr:ext cx="304800" cy="263853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>
        <a:xfrm>
          <a:off x="29446855" y="127254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28</xdr:row>
      <xdr:rowOff>0</xdr:rowOff>
    </xdr:from>
    <xdr:ext cx="304800" cy="263853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>
        <a:xfrm>
          <a:off x="2944685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28</xdr:row>
      <xdr:rowOff>0</xdr:rowOff>
    </xdr:from>
    <xdr:ext cx="304800" cy="263853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>
        <a:xfrm>
          <a:off x="2944685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28</xdr:row>
      <xdr:rowOff>0</xdr:rowOff>
    </xdr:from>
    <xdr:ext cx="304800" cy="263853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>
        <a:xfrm>
          <a:off x="29446855" y="16230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70</xdr:row>
      <xdr:rowOff>0</xdr:rowOff>
    </xdr:from>
    <xdr:ext cx="304800" cy="263853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>
        <a:xfrm>
          <a:off x="29446855" y="797052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9525</xdr:colOff>
      <xdr:row>12</xdr:row>
      <xdr:rowOff>85725</xdr:rowOff>
    </xdr:from>
    <xdr:ext cx="304800" cy="337609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BB9BEC91-C0B2-447B-9325-0351191D5043}"/>
            </a:ext>
          </a:extLst>
        </xdr:cNvPr>
        <xdr:cNvSpPr>
          <a:spLocks noChangeAspect="1" noChangeArrowheads="1"/>
        </xdr:cNvSpPr>
      </xdr:nvSpPr>
      <xdr:spPr>
        <a:xfrm>
          <a:off x="41200917" y="1958975"/>
          <a:ext cx="304800" cy="33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9525</xdr:colOff>
      <xdr:row>22</xdr:row>
      <xdr:rowOff>85725</xdr:rowOff>
    </xdr:from>
    <xdr:ext cx="304800" cy="337609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5FAD5CF1-183D-4ADA-B84B-CE2D9DDC7DE5}"/>
            </a:ext>
          </a:extLst>
        </xdr:cNvPr>
        <xdr:cNvSpPr>
          <a:spLocks noChangeAspect="1" noChangeArrowheads="1"/>
        </xdr:cNvSpPr>
      </xdr:nvSpPr>
      <xdr:spPr>
        <a:xfrm>
          <a:off x="41200917" y="1958975"/>
          <a:ext cx="304800" cy="33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9525</xdr:colOff>
      <xdr:row>21</xdr:row>
      <xdr:rowOff>85725</xdr:rowOff>
    </xdr:from>
    <xdr:ext cx="304800" cy="337609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E0090ADE-7B7F-4F37-80D9-EF55EED08286}"/>
            </a:ext>
          </a:extLst>
        </xdr:cNvPr>
        <xdr:cNvSpPr>
          <a:spLocks noChangeAspect="1" noChangeArrowheads="1"/>
        </xdr:cNvSpPr>
      </xdr:nvSpPr>
      <xdr:spPr>
        <a:xfrm>
          <a:off x="41200917" y="1958975"/>
          <a:ext cx="304800" cy="33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9525</xdr:colOff>
      <xdr:row>25</xdr:row>
      <xdr:rowOff>85725</xdr:rowOff>
    </xdr:from>
    <xdr:ext cx="304800" cy="337609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2C734780-E39F-4C57-BAD7-5172D953C98B}"/>
            </a:ext>
          </a:extLst>
        </xdr:cNvPr>
        <xdr:cNvSpPr>
          <a:spLocks noChangeAspect="1" noChangeArrowheads="1"/>
        </xdr:cNvSpPr>
      </xdr:nvSpPr>
      <xdr:spPr>
        <a:xfrm>
          <a:off x="41200917" y="1958975"/>
          <a:ext cx="304800" cy="33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1351221</xdr:colOff>
      <xdr:row>18</xdr:row>
      <xdr:rowOff>66454</xdr:rowOff>
    </xdr:from>
    <xdr:ext cx="213171" cy="328561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D19693A3-9319-481D-B400-8DE844BB438C}"/>
            </a:ext>
          </a:extLst>
        </xdr:cNvPr>
        <xdr:cNvSpPr>
          <a:spLocks noChangeAspect="1" noChangeArrowheads="1"/>
        </xdr:cNvSpPr>
      </xdr:nvSpPr>
      <xdr:spPr>
        <a:xfrm>
          <a:off x="41200917" y="5326371"/>
          <a:ext cx="213171" cy="32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116840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31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85725</xdr:rowOff>
    </xdr:from>
    <xdr:to>
      <xdr:col>17</xdr:col>
      <xdr:colOff>304800</xdr:colOff>
      <xdr:row>71</xdr:row>
      <xdr:rowOff>4445</xdr:rowOff>
    </xdr:to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>
        <a:xfrm>
          <a:off x="15579090" y="14388465"/>
          <a:ext cx="304800" cy="31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35</xdr:row>
      <xdr:rowOff>0</xdr:rowOff>
    </xdr:from>
    <xdr:ext cx="304800" cy="263853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>
        <a:xfrm>
          <a:off x="15579090" y="75666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35</xdr:row>
      <xdr:rowOff>0</xdr:rowOff>
    </xdr:from>
    <xdr:ext cx="304800" cy="263853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>
        <a:xfrm>
          <a:off x="15579090" y="75666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35</xdr:row>
      <xdr:rowOff>0</xdr:rowOff>
    </xdr:from>
    <xdr:ext cx="304800" cy="263853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>
        <a:xfrm>
          <a:off x="15579090" y="756666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263853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>
        <a:xfrm>
          <a:off x="15579090" y="28117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197485</xdr:rowOff>
    </xdr:from>
    <xdr:ext cx="304800" cy="240993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>
        <a:xfrm>
          <a:off x="15579090" y="2811145"/>
          <a:ext cx="304800" cy="240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59</xdr:row>
      <xdr:rowOff>0</xdr:rowOff>
    </xdr:from>
    <xdr:ext cx="304800" cy="263853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>
        <a:xfrm>
          <a:off x="15579090" y="123215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59</xdr:row>
      <xdr:rowOff>0</xdr:rowOff>
    </xdr:from>
    <xdr:ext cx="304800" cy="263853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>
        <a:xfrm>
          <a:off x="15579090" y="1232154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</xdr:row>
      <xdr:rowOff>0</xdr:rowOff>
    </xdr:from>
    <xdr:ext cx="304800" cy="263853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>
        <a:xfrm>
          <a:off x="15579090" y="4000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688975</xdr:colOff>
      <xdr:row>88</xdr:row>
      <xdr:rowOff>72390</xdr:rowOff>
    </xdr:from>
    <xdr:ext cx="304800" cy="263853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>
        <a:xfrm>
          <a:off x="6724650" y="1816036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77</xdr:row>
      <xdr:rowOff>0</xdr:rowOff>
    </xdr:from>
    <xdr:ext cx="304800" cy="263853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>
        <a:xfrm>
          <a:off x="15579090" y="159086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77</xdr:row>
      <xdr:rowOff>0</xdr:rowOff>
    </xdr:from>
    <xdr:ext cx="304800" cy="263853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>
        <a:xfrm>
          <a:off x="15579090" y="159086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77</xdr:row>
      <xdr:rowOff>0</xdr:rowOff>
    </xdr:from>
    <xdr:ext cx="304800" cy="263853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>
        <a:xfrm>
          <a:off x="15579090" y="159086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77</xdr:row>
      <xdr:rowOff>0</xdr:rowOff>
    </xdr:from>
    <xdr:ext cx="304800" cy="263853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>
        <a:xfrm>
          <a:off x="15579090" y="15908655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263853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>
        <a:xfrm>
          <a:off x="15579090" y="895350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263853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>
        <a:xfrm>
          <a:off x="15579090" y="28117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339725</xdr:colOff>
      <xdr:row>10</xdr:row>
      <xdr:rowOff>44450</xdr:rowOff>
    </xdr:from>
    <xdr:ext cx="304800" cy="438478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>
        <a:xfrm>
          <a:off x="4523740" y="2658110"/>
          <a:ext cx="3048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263853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>
        <a:xfrm>
          <a:off x="15579090" y="4792980"/>
          <a:ext cx="304800" cy="26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rene\Desktop\&#24037;&#20316;&#25991;&#20214;5-6\0922&#19979;&#21333;&#35745;&#21010;\&#19979;&#21333;&#35745;&#21010;\&#24215;&#24211;&#23384;230922.XLSX" TargetMode="External"/><Relationship Id="rId1" Type="http://schemas.openxmlformats.org/officeDocument/2006/relationships/externalLinkPath" Target="&#24215;&#24211;&#23384;2309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rene\Desktop\&#24037;&#20316;&#25991;&#20214;5-6\0922&#19979;&#21333;&#35745;&#21010;\&#36816;&#33829;\28&#22825;&#38144;&#21806;230922.xlsx" TargetMode="External"/><Relationship Id="rId1" Type="http://schemas.openxmlformats.org/officeDocument/2006/relationships/externalLinkPath" Target="/Users/Irene/Desktop/&#24037;&#20316;&#25991;&#20214;5-6/0922&#19979;&#21333;&#35745;&#21010;/&#36816;&#33829;/28&#22825;&#38144;&#21806;2309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rene\Desktop\&#32654;&#22269;&#31354;&#36816;(&#38656;&#22797;&#26680;&#31354;&#36816;&#36153;&#29992;)20230915+&#22823;&#35746;&#21333;&#20179;&#24050;&#25441;&#37197;(1).XLSX" TargetMode="External"/><Relationship Id="rId1" Type="http://schemas.openxmlformats.org/officeDocument/2006/relationships/externalLinkPath" Target="/Users/Irene/Desktop/&#32654;&#22269;&#31354;&#36816;(&#38656;&#22797;&#26680;&#31354;&#36816;&#36153;&#29992;)20230915+&#22823;&#35746;&#21333;&#20179;&#24050;&#25441;&#37197;(1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rene\Desktop\&#24037;&#20316;&#25991;&#20214;5-6\0922&#19979;&#21333;&#35745;&#21010;\&#19979;&#21333;&#35745;&#21010;\FOOD%20Display%20Meter%20Count-230915.xlsx" TargetMode="External"/><Relationship Id="rId1" Type="http://schemas.openxmlformats.org/officeDocument/2006/relationships/externalLinkPath" Target="FOOD%20Display%20Meter%20Count-2309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7"/>
      <sheetName val="食品"/>
      <sheetName val="饮料"/>
      <sheetName val="Sheet8"/>
      <sheetName val="plush"/>
      <sheetName val="pillow"/>
      <sheetName val="bb"/>
      <sheetName val="Sheet1"/>
    </sheetNames>
    <sheetDataSet>
      <sheetData sheetId="0">
        <row r="2">
          <cell r="H2" t="str">
            <v>US01</v>
          </cell>
          <cell r="I2">
            <v>73033.259999999893</v>
          </cell>
          <cell r="J2">
            <v>0</v>
          </cell>
          <cell r="K2">
            <v>223632.67000000019</v>
          </cell>
          <cell r="L2">
            <v>295802.18000000052</v>
          </cell>
          <cell r="M2">
            <v>37521</v>
          </cell>
        </row>
        <row r="3">
          <cell r="H3" t="str">
            <v>US03</v>
          </cell>
          <cell r="I3">
            <v>17459.079999999998</v>
          </cell>
          <cell r="J3">
            <v>0</v>
          </cell>
          <cell r="K3">
            <v>295197.59999999974</v>
          </cell>
          <cell r="L3">
            <v>311915.87000000029</v>
          </cell>
          <cell r="M3">
            <v>39081</v>
          </cell>
        </row>
        <row r="4">
          <cell r="H4" t="str">
            <v>US05</v>
          </cell>
          <cell r="I4">
            <v>56549.559999999932</v>
          </cell>
          <cell r="J4">
            <v>32576.629999999968</v>
          </cell>
          <cell r="K4">
            <v>417089.25999999774</v>
          </cell>
          <cell r="L4">
            <v>506222.67999999947</v>
          </cell>
          <cell r="M4">
            <v>65582</v>
          </cell>
        </row>
        <row r="5">
          <cell r="H5" t="str">
            <v>US08</v>
          </cell>
          <cell r="I5">
            <v>0</v>
          </cell>
          <cell r="J5">
            <v>20147.21999999999</v>
          </cell>
          <cell r="K5">
            <v>267644.33000000025</v>
          </cell>
          <cell r="L5">
            <v>287767.03000000049</v>
          </cell>
          <cell r="M5">
            <v>37703</v>
          </cell>
        </row>
        <row r="6">
          <cell r="H6" t="str">
            <v>US09</v>
          </cell>
          <cell r="I6">
            <v>68276.289999999964</v>
          </cell>
          <cell r="J6">
            <v>0</v>
          </cell>
          <cell r="K6">
            <v>156701.61000000004</v>
          </cell>
          <cell r="L6">
            <v>224687.59000000081</v>
          </cell>
          <cell r="M6">
            <v>28271</v>
          </cell>
        </row>
        <row r="7">
          <cell r="H7" t="str">
            <v>US10</v>
          </cell>
          <cell r="I7">
            <v>36362.149999999987</v>
          </cell>
          <cell r="J7">
            <v>18416.21</v>
          </cell>
          <cell r="K7">
            <v>679835.59999999823</v>
          </cell>
          <cell r="L7">
            <v>734616.80999999924</v>
          </cell>
          <cell r="M7">
            <v>98585</v>
          </cell>
        </row>
        <row r="8">
          <cell r="H8" t="str">
            <v>US11</v>
          </cell>
          <cell r="I8">
            <v>23142.239999999983</v>
          </cell>
          <cell r="J8">
            <v>0</v>
          </cell>
          <cell r="K8">
            <v>280511.12000000017</v>
          </cell>
          <cell r="L8">
            <v>303677.35000000009</v>
          </cell>
          <cell r="M8">
            <v>38220</v>
          </cell>
        </row>
        <row r="9">
          <cell r="H9" t="str">
            <v>US13</v>
          </cell>
          <cell r="I9">
            <v>75893.609999999855</v>
          </cell>
          <cell r="J9">
            <v>0</v>
          </cell>
          <cell r="K9">
            <v>527408.20999999775</v>
          </cell>
          <cell r="L9">
            <v>603003.13999999815</v>
          </cell>
          <cell r="M9">
            <v>75794</v>
          </cell>
        </row>
        <row r="10">
          <cell r="H10" t="str">
            <v>US15</v>
          </cell>
          <cell r="I10">
            <v>79246.029999999941</v>
          </cell>
          <cell r="J10">
            <v>0</v>
          </cell>
          <cell r="K10">
            <v>583615.00999999989</v>
          </cell>
          <cell r="L10">
            <v>662664.36999999976</v>
          </cell>
          <cell r="M10">
            <v>87774</v>
          </cell>
        </row>
        <row r="11">
          <cell r="H11" t="str">
            <v>US16</v>
          </cell>
          <cell r="I11">
            <v>23850.489999999987</v>
          </cell>
          <cell r="J11">
            <v>0</v>
          </cell>
          <cell r="K11">
            <v>348564.78999999806</v>
          </cell>
          <cell r="L11">
            <v>371931.0799999985</v>
          </cell>
          <cell r="M11">
            <v>49938</v>
          </cell>
        </row>
        <row r="12">
          <cell r="H12" t="str">
            <v>US17</v>
          </cell>
          <cell r="I12">
            <v>22869.659999999971</v>
          </cell>
          <cell r="J12">
            <v>0</v>
          </cell>
          <cell r="K12">
            <v>313051.59999999905</v>
          </cell>
          <cell r="L12">
            <v>335977.60999999935</v>
          </cell>
          <cell r="M12">
            <v>41403</v>
          </cell>
        </row>
        <row r="13">
          <cell r="H13" t="str">
            <v>US18</v>
          </cell>
          <cell r="I13">
            <v>14356.630000000008</v>
          </cell>
          <cell r="J13">
            <v>0</v>
          </cell>
          <cell r="K13">
            <v>242085.01000000164</v>
          </cell>
          <cell r="L13">
            <v>256569.6100000017</v>
          </cell>
          <cell r="M13">
            <v>33062</v>
          </cell>
        </row>
        <row r="14">
          <cell r="H14" t="str">
            <v>US19</v>
          </cell>
          <cell r="I14">
            <v>78372.959999999948</v>
          </cell>
          <cell r="J14">
            <v>49243.830000000009</v>
          </cell>
          <cell r="K14">
            <v>775562.7499999943</v>
          </cell>
          <cell r="L14">
            <v>902845.11999999359</v>
          </cell>
          <cell r="M14">
            <v>111239</v>
          </cell>
        </row>
        <row r="15">
          <cell r="H15" t="str">
            <v>US20</v>
          </cell>
          <cell r="I15">
            <v>83161.37999999983</v>
          </cell>
          <cell r="J15">
            <v>0</v>
          </cell>
          <cell r="K15">
            <v>489873.22999999957</v>
          </cell>
          <cell r="L15">
            <v>573084.41999999993</v>
          </cell>
          <cell r="M15">
            <v>71814</v>
          </cell>
        </row>
        <row r="16">
          <cell r="H16" t="str">
            <v>US21</v>
          </cell>
          <cell r="I16">
            <v>37290.239999999983</v>
          </cell>
          <cell r="J16">
            <v>0</v>
          </cell>
          <cell r="K16">
            <v>532750.36999999301</v>
          </cell>
          <cell r="L16">
            <v>569619.05999999237</v>
          </cell>
          <cell r="M16">
            <v>74239</v>
          </cell>
        </row>
        <row r="17">
          <cell r="H17" t="str">
            <v>US22</v>
          </cell>
          <cell r="I17">
            <v>23407.53000000001</v>
          </cell>
          <cell r="J17">
            <v>0</v>
          </cell>
          <cell r="K17">
            <v>438310.75999999704</v>
          </cell>
          <cell r="L17">
            <v>461666.36999999743</v>
          </cell>
          <cell r="M17">
            <v>60554</v>
          </cell>
        </row>
        <row r="18">
          <cell r="H18" t="str">
            <v>US23</v>
          </cell>
          <cell r="I18">
            <v>67349.769999999946</v>
          </cell>
          <cell r="J18">
            <v>0</v>
          </cell>
          <cell r="K18">
            <v>460778.50999999646</v>
          </cell>
          <cell r="L18">
            <v>527949.75999999791</v>
          </cell>
          <cell r="M18">
            <v>69400</v>
          </cell>
        </row>
        <row r="19">
          <cell r="H19" t="str">
            <v>US24</v>
          </cell>
          <cell r="I19">
            <v>22377.319999999989</v>
          </cell>
          <cell r="J19">
            <v>21241.570000000003</v>
          </cell>
          <cell r="K19">
            <v>247422.46999999997</v>
          </cell>
          <cell r="L19">
            <v>290942.69000000099</v>
          </cell>
          <cell r="M19">
            <v>35914</v>
          </cell>
        </row>
        <row r="20">
          <cell r="H20" t="str">
            <v>US25</v>
          </cell>
          <cell r="I20">
            <v>47483.369999999908</v>
          </cell>
          <cell r="J20">
            <v>23055.869999999992</v>
          </cell>
          <cell r="K20">
            <v>257386.3000000006</v>
          </cell>
          <cell r="L20">
            <v>327882.6600000019</v>
          </cell>
          <cell r="M20">
            <v>42972</v>
          </cell>
        </row>
        <row r="21">
          <cell r="H21" t="str">
            <v>US26</v>
          </cell>
          <cell r="I21">
            <v>52076.409999999945</v>
          </cell>
          <cell r="J21">
            <v>0</v>
          </cell>
          <cell r="K21">
            <v>364035.1999999978</v>
          </cell>
          <cell r="L21">
            <v>415693.3999999995</v>
          </cell>
          <cell r="M21">
            <v>55379</v>
          </cell>
        </row>
        <row r="22">
          <cell r="H22" t="str">
            <v>US27</v>
          </cell>
          <cell r="I22">
            <v>36850.789999999957</v>
          </cell>
          <cell r="J22">
            <v>14862.649999999987</v>
          </cell>
          <cell r="K22">
            <v>266970.79000000068</v>
          </cell>
          <cell r="L22">
            <v>318235.84000000096</v>
          </cell>
          <cell r="M22">
            <v>39208</v>
          </cell>
        </row>
        <row r="23">
          <cell r="H23" t="str">
            <v>US28</v>
          </cell>
          <cell r="I23">
            <v>26954.96000000001</v>
          </cell>
          <cell r="J23">
            <v>0</v>
          </cell>
          <cell r="K23">
            <v>351995.22999999649</v>
          </cell>
          <cell r="L23">
            <v>378371.18999999645</v>
          </cell>
          <cell r="M23">
            <v>53639</v>
          </cell>
        </row>
        <row r="24">
          <cell r="H24" t="str">
            <v>US29</v>
          </cell>
          <cell r="I24">
            <v>24400.209999999992</v>
          </cell>
          <cell r="J24">
            <v>0</v>
          </cell>
          <cell r="K24">
            <v>312655.49999999953</v>
          </cell>
          <cell r="L24">
            <v>337092.47</v>
          </cell>
          <cell r="M24">
            <v>41913</v>
          </cell>
        </row>
        <row r="25">
          <cell r="H25" t="str">
            <v>US30</v>
          </cell>
          <cell r="I25">
            <v>93672.519999999771</v>
          </cell>
          <cell r="J25">
            <v>0</v>
          </cell>
          <cell r="K25">
            <v>248906.72000000032</v>
          </cell>
          <cell r="L25">
            <v>342269.23000000155</v>
          </cell>
          <cell r="M25">
            <v>41686</v>
          </cell>
        </row>
        <row r="26">
          <cell r="H26" t="str">
            <v>US34</v>
          </cell>
          <cell r="I26">
            <v>56257.1</v>
          </cell>
          <cell r="J26">
            <v>0</v>
          </cell>
          <cell r="K26">
            <v>306860.3299999992</v>
          </cell>
          <cell r="L26">
            <v>362822.30000000051</v>
          </cell>
          <cell r="M26">
            <v>46848</v>
          </cell>
        </row>
        <row r="27">
          <cell r="H27" t="str">
            <v>US35</v>
          </cell>
          <cell r="I27">
            <v>68687.829999999944</v>
          </cell>
          <cell r="J27">
            <v>34450.289999999957</v>
          </cell>
          <cell r="K27">
            <v>425567.41000000096</v>
          </cell>
          <cell r="L27">
            <v>528502.81000000332</v>
          </cell>
          <cell r="M27">
            <v>71078</v>
          </cell>
        </row>
        <row r="28">
          <cell r="H28" t="str">
            <v>US38</v>
          </cell>
          <cell r="I28">
            <v>27019.520000000008</v>
          </cell>
          <cell r="J28">
            <v>34402.89999999998</v>
          </cell>
          <cell r="K28">
            <v>843893.00999999989</v>
          </cell>
          <cell r="L28">
            <v>905098.72000000055</v>
          </cell>
          <cell r="M28">
            <v>121956</v>
          </cell>
        </row>
        <row r="29">
          <cell r="H29" t="str">
            <v>US39</v>
          </cell>
          <cell r="I29">
            <v>26200.809999999979</v>
          </cell>
          <cell r="J29">
            <v>19757.399999999991</v>
          </cell>
          <cell r="K29">
            <v>309149.23999999894</v>
          </cell>
          <cell r="L29">
            <v>354662.19000000012</v>
          </cell>
          <cell r="M29">
            <v>45573</v>
          </cell>
        </row>
        <row r="30">
          <cell r="H30" t="str">
            <v>US42</v>
          </cell>
          <cell r="I30">
            <v>33258.699999999932</v>
          </cell>
          <cell r="J30">
            <v>0</v>
          </cell>
          <cell r="K30">
            <v>259146.50000000239</v>
          </cell>
          <cell r="L30">
            <v>292183.80000000296</v>
          </cell>
          <cell r="M30">
            <v>39564</v>
          </cell>
        </row>
        <row r="31">
          <cell r="H31" t="str">
            <v>US43</v>
          </cell>
          <cell r="I31">
            <v>152578.9700000002</v>
          </cell>
          <cell r="J31">
            <v>0</v>
          </cell>
          <cell r="K31">
            <v>376526.37999999867</v>
          </cell>
          <cell r="L31">
            <v>529327.24000000034</v>
          </cell>
          <cell r="M31">
            <v>72588</v>
          </cell>
        </row>
        <row r="32">
          <cell r="H32" t="str">
            <v>US45</v>
          </cell>
          <cell r="I32">
            <v>30360.299999999963</v>
          </cell>
          <cell r="J32">
            <v>18314.169999999976</v>
          </cell>
          <cell r="K32">
            <v>184608.8700000011</v>
          </cell>
          <cell r="L32">
            <v>233031.02000000156</v>
          </cell>
          <cell r="M32">
            <v>29713</v>
          </cell>
        </row>
        <row r="33">
          <cell r="H33" t="str">
            <v>US46</v>
          </cell>
          <cell r="I33">
            <v>42601.599999999926</v>
          </cell>
          <cell r="J33">
            <v>0</v>
          </cell>
          <cell r="K33">
            <v>251603.76000000213</v>
          </cell>
          <cell r="L33">
            <v>293847.16000000288</v>
          </cell>
          <cell r="M33">
            <v>36752</v>
          </cell>
        </row>
        <row r="34">
          <cell r="H34" t="str">
            <v>US47</v>
          </cell>
          <cell r="I34">
            <v>53614.139999999883</v>
          </cell>
          <cell r="J34">
            <v>0</v>
          </cell>
          <cell r="K34">
            <v>257973.52999999962</v>
          </cell>
          <cell r="L34">
            <v>311616.3400000002</v>
          </cell>
          <cell r="M34">
            <v>40983</v>
          </cell>
        </row>
        <row r="35">
          <cell r="H35" t="str">
            <v>US48</v>
          </cell>
          <cell r="I35">
            <v>0</v>
          </cell>
          <cell r="J35">
            <v>0</v>
          </cell>
          <cell r="K35">
            <v>668130.3699999901</v>
          </cell>
          <cell r="L35">
            <v>667391.50999999023</v>
          </cell>
          <cell r="M35">
            <v>84831</v>
          </cell>
        </row>
        <row r="36">
          <cell r="H36" t="str">
            <v>US49</v>
          </cell>
          <cell r="I36">
            <v>241628.66000000166</v>
          </cell>
          <cell r="J36">
            <v>14752.850000000002</v>
          </cell>
          <cell r="K36">
            <v>210831.52000000104</v>
          </cell>
          <cell r="L36">
            <v>466874.00000000274</v>
          </cell>
          <cell r="M36">
            <v>58093</v>
          </cell>
        </row>
        <row r="37">
          <cell r="H37" t="str">
            <v>US51</v>
          </cell>
          <cell r="I37">
            <v>74287.839999999822</v>
          </cell>
          <cell r="J37">
            <v>0</v>
          </cell>
          <cell r="K37">
            <v>299245.21000000124</v>
          </cell>
          <cell r="L37">
            <v>373421.78000000172</v>
          </cell>
          <cell r="M37">
            <v>49407</v>
          </cell>
        </row>
        <row r="38">
          <cell r="H38" t="str">
            <v>US52</v>
          </cell>
          <cell r="I38">
            <v>53109.889999999956</v>
          </cell>
          <cell r="J38">
            <v>0</v>
          </cell>
          <cell r="K38">
            <v>284288.49000000092</v>
          </cell>
          <cell r="L38">
            <v>337021.57000000123</v>
          </cell>
          <cell r="M38">
            <v>44241</v>
          </cell>
        </row>
        <row r="39">
          <cell r="H39" t="str">
            <v>US53</v>
          </cell>
          <cell r="I39">
            <v>107251.75999999957</v>
          </cell>
          <cell r="J39">
            <v>0</v>
          </cell>
          <cell r="K39">
            <v>213682.00000000087</v>
          </cell>
          <cell r="L39">
            <v>320924.79000000312</v>
          </cell>
          <cell r="M39">
            <v>39222</v>
          </cell>
        </row>
        <row r="40">
          <cell r="H40" t="str">
            <v>US54</v>
          </cell>
          <cell r="I40">
            <v>69034.839999999938</v>
          </cell>
          <cell r="J40">
            <v>14231.36</v>
          </cell>
          <cell r="K40">
            <v>210124.97000000053</v>
          </cell>
          <cell r="L40">
            <v>293114.93000000203</v>
          </cell>
          <cell r="M40">
            <v>38636</v>
          </cell>
        </row>
        <row r="41">
          <cell r="H41" t="str">
            <v>US55</v>
          </cell>
          <cell r="I41">
            <v>25376.969999999983</v>
          </cell>
          <cell r="J41">
            <v>0</v>
          </cell>
          <cell r="K41">
            <v>378293.63000000262</v>
          </cell>
          <cell r="L41">
            <v>402950.47000000288</v>
          </cell>
          <cell r="M41">
            <v>55178</v>
          </cell>
        </row>
        <row r="42">
          <cell r="H42" t="str">
            <v>US56</v>
          </cell>
          <cell r="I42">
            <v>26321.159999999993</v>
          </cell>
          <cell r="J42">
            <v>0</v>
          </cell>
          <cell r="K42">
            <v>311071.93999999919</v>
          </cell>
          <cell r="L42">
            <v>337364.14999999956</v>
          </cell>
          <cell r="M42">
            <v>41878</v>
          </cell>
        </row>
        <row r="43">
          <cell r="H43" t="str">
            <v>US57</v>
          </cell>
          <cell r="I43">
            <v>48713.249999999949</v>
          </cell>
          <cell r="J43">
            <v>0</v>
          </cell>
          <cell r="K43">
            <v>247558.65000000046</v>
          </cell>
          <cell r="L43">
            <v>295859.8800000014</v>
          </cell>
          <cell r="M43">
            <v>39209</v>
          </cell>
        </row>
        <row r="44">
          <cell r="H44" t="str">
            <v>US58</v>
          </cell>
          <cell r="I44">
            <v>147890.54999999984</v>
          </cell>
          <cell r="J44">
            <v>0</v>
          </cell>
          <cell r="K44">
            <v>212862.46999999988</v>
          </cell>
          <cell r="L44">
            <v>360484.45000000147</v>
          </cell>
          <cell r="M44">
            <v>47287</v>
          </cell>
        </row>
        <row r="45">
          <cell r="H45" t="str">
            <v>US59</v>
          </cell>
          <cell r="I45">
            <v>66351.909999999916</v>
          </cell>
          <cell r="J45">
            <v>16622.049999999996</v>
          </cell>
          <cell r="K45">
            <v>259490.69000000143</v>
          </cell>
          <cell r="L45">
            <v>341994.13000000181</v>
          </cell>
          <cell r="M45">
            <v>47031</v>
          </cell>
        </row>
        <row r="46">
          <cell r="H46" t="str">
            <v>US60</v>
          </cell>
          <cell r="I46">
            <v>113080.9699999997</v>
          </cell>
          <cell r="J46">
            <v>0</v>
          </cell>
          <cell r="K46">
            <v>314758.08000000188</v>
          </cell>
          <cell r="L46">
            <v>427411.41000000364</v>
          </cell>
          <cell r="M46">
            <v>56648</v>
          </cell>
        </row>
        <row r="47">
          <cell r="H47" t="str">
            <v>US61</v>
          </cell>
          <cell r="I47">
            <v>47469.06</v>
          </cell>
          <cell r="J47">
            <v>15005.700000000008</v>
          </cell>
          <cell r="K47">
            <v>231037.65000000122</v>
          </cell>
          <cell r="L47">
            <v>292951.70000000246</v>
          </cell>
          <cell r="M47">
            <v>38702</v>
          </cell>
        </row>
        <row r="48">
          <cell r="H48" t="str">
            <v>US64</v>
          </cell>
          <cell r="I48">
            <v>217204.41000000102</v>
          </cell>
          <cell r="J48">
            <v>0</v>
          </cell>
          <cell r="K48">
            <v>683928.12999999686</v>
          </cell>
          <cell r="L48">
            <v>901557.30999999575</v>
          </cell>
          <cell r="M48">
            <v>113233</v>
          </cell>
        </row>
        <row r="49">
          <cell r="H49" t="str">
            <v>US65</v>
          </cell>
          <cell r="I49">
            <v>254382.06000000073</v>
          </cell>
          <cell r="J49">
            <v>0</v>
          </cell>
          <cell r="K49">
            <v>1043457.7599999978</v>
          </cell>
          <cell r="L49">
            <v>1297275.4499999925</v>
          </cell>
          <cell r="M49">
            <v>164240</v>
          </cell>
        </row>
        <row r="50">
          <cell r="H50" t="str">
            <v>US66</v>
          </cell>
          <cell r="I50">
            <v>65854.549999999901</v>
          </cell>
          <cell r="J50">
            <v>0</v>
          </cell>
          <cell r="K50">
            <v>473733.2799999998</v>
          </cell>
          <cell r="L50">
            <v>540395.19000000064</v>
          </cell>
          <cell r="M50">
            <v>69848</v>
          </cell>
        </row>
        <row r="51">
          <cell r="H51" t="str">
            <v>US67</v>
          </cell>
          <cell r="I51">
            <v>78374.849999999889</v>
          </cell>
          <cell r="J51">
            <v>0</v>
          </cell>
          <cell r="K51">
            <v>284049.07000000036</v>
          </cell>
          <cell r="L51">
            <v>362207.6200000018</v>
          </cell>
          <cell r="M51">
            <v>47494</v>
          </cell>
        </row>
        <row r="52">
          <cell r="H52" t="str">
            <v>US69</v>
          </cell>
          <cell r="I52">
            <v>113287.03999999969</v>
          </cell>
          <cell r="J52">
            <v>36568.389999999978</v>
          </cell>
          <cell r="K52">
            <v>327733.26999999868</v>
          </cell>
          <cell r="L52">
            <v>477371.81999999803</v>
          </cell>
          <cell r="M52">
            <v>60586</v>
          </cell>
        </row>
        <row r="53">
          <cell r="H53" t="str">
            <v>US70</v>
          </cell>
          <cell r="I53">
            <v>169973.09000000084</v>
          </cell>
          <cell r="J53">
            <v>16558.850000000006</v>
          </cell>
          <cell r="K53">
            <v>263431.8200000014</v>
          </cell>
          <cell r="L53">
            <v>448981.8200000035</v>
          </cell>
          <cell r="M53">
            <v>57735</v>
          </cell>
        </row>
        <row r="54">
          <cell r="H54" t="str">
            <v>US71</v>
          </cell>
          <cell r="I54">
            <v>41773.899999999965</v>
          </cell>
          <cell r="J54">
            <v>0</v>
          </cell>
          <cell r="K54">
            <v>375049.52000000165</v>
          </cell>
          <cell r="L54">
            <v>415879.92000000225</v>
          </cell>
          <cell r="M54">
            <v>52704</v>
          </cell>
        </row>
        <row r="55">
          <cell r="H55" t="str">
            <v>US72</v>
          </cell>
          <cell r="I55">
            <v>86701.949999999881</v>
          </cell>
          <cell r="J55">
            <v>0</v>
          </cell>
          <cell r="K55">
            <v>318619.81000000174</v>
          </cell>
          <cell r="L55">
            <v>404966.66000000341</v>
          </cell>
          <cell r="M55">
            <v>51794</v>
          </cell>
        </row>
        <row r="56">
          <cell r="H56" t="str">
            <v>US73</v>
          </cell>
          <cell r="I56">
            <v>99302.009999999806</v>
          </cell>
          <cell r="J56">
            <v>0</v>
          </cell>
          <cell r="K56">
            <v>209911.33000000051</v>
          </cell>
          <cell r="L56">
            <v>308941.78000000253</v>
          </cell>
          <cell r="M56">
            <v>38069</v>
          </cell>
        </row>
        <row r="57">
          <cell r="H57" t="str">
            <v>US74</v>
          </cell>
          <cell r="I57">
            <v>73625.520000000019</v>
          </cell>
          <cell r="J57">
            <v>0</v>
          </cell>
          <cell r="K57">
            <v>433652.38999999687</v>
          </cell>
          <cell r="L57">
            <v>507023.26999999868</v>
          </cell>
          <cell r="M57">
            <v>65404</v>
          </cell>
        </row>
        <row r="58">
          <cell r="H58" t="str">
            <v>US75</v>
          </cell>
          <cell r="I58">
            <v>16188.179999999995</v>
          </cell>
          <cell r="J58">
            <v>0</v>
          </cell>
          <cell r="K58">
            <v>308465.60000000068</v>
          </cell>
          <cell r="L58">
            <v>324464.25000000105</v>
          </cell>
          <cell r="M58">
            <v>41298</v>
          </cell>
        </row>
        <row r="59">
          <cell r="H59" t="str">
            <v>US76</v>
          </cell>
          <cell r="I59">
            <v>85770.259999999762</v>
          </cell>
          <cell r="J59">
            <v>50392.409999999931</v>
          </cell>
          <cell r="K59">
            <v>276820.89999999997</v>
          </cell>
          <cell r="L59">
            <v>412695.51000000321</v>
          </cell>
          <cell r="M59">
            <v>52671</v>
          </cell>
        </row>
        <row r="60">
          <cell r="H60" t="str">
            <v>US77</v>
          </cell>
          <cell r="I60">
            <v>63295.669999999947</v>
          </cell>
          <cell r="J60">
            <v>0</v>
          </cell>
          <cell r="K60">
            <v>485829.55999999656</v>
          </cell>
          <cell r="L60">
            <v>549042.31999999599</v>
          </cell>
          <cell r="M60">
            <v>69871</v>
          </cell>
        </row>
        <row r="61">
          <cell r="H61" t="str">
            <v>US78</v>
          </cell>
          <cell r="I61">
            <v>37723.109999999964</v>
          </cell>
          <cell r="J61">
            <v>34193.769999999953</v>
          </cell>
          <cell r="K61">
            <v>288308.58000000037</v>
          </cell>
          <cell r="L61">
            <v>360151.5900000023</v>
          </cell>
          <cell r="M61">
            <v>46682</v>
          </cell>
        </row>
        <row r="62">
          <cell r="H62" t="str">
            <v>US80</v>
          </cell>
          <cell r="I62">
            <v>24108.709999999977</v>
          </cell>
          <cell r="J62">
            <v>0</v>
          </cell>
          <cell r="K62">
            <v>596660.2799999984</v>
          </cell>
          <cell r="L62">
            <v>620445.50999999745</v>
          </cell>
          <cell r="M62">
            <v>79594</v>
          </cell>
        </row>
        <row r="63">
          <cell r="H63" t="str">
            <v>US81</v>
          </cell>
          <cell r="I63">
            <v>111995.8399999996</v>
          </cell>
          <cell r="J63">
            <v>0</v>
          </cell>
          <cell r="K63">
            <v>271187.16000000125</v>
          </cell>
          <cell r="L63">
            <v>383159.08000000432</v>
          </cell>
          <cell r="M63">
            <v>46929</v>
          </cell>
        </row>
        <row r="64">
          <cell r="H64" t="str">
            <v>US82</v>
          </cell>
          <cell r="I64">
            <v>93100.039999999717</v>
          </cell>
          <cell r="J64">
            <v>0</v>
          </cell>
          <cell r="K64">
            <v>324624.90000000142</v>
          </cell>
          <cell r="L64">
            <v>417567.42000000313</v>
          </cell>
          <cell r="M64">
            <v>51458</v>
          </cell>
        </row>
        <row r="65">
          <cell r="H65" t="str">
            <v>US83</v>
          </cell>
          <cell r="I65">
            <v>0</v>
          </cell>
          <cell r="J65">
            <v>24210.159999999978</v>
          </cell>
          <cell r="K65">
            <v>513938.37000000069</v>
          </cell>
          <cell r="L65">
            <v>537608.33000000089</v>
          </cell>
          <cell r="M65">
            <v>68415</v>
          </cell>
        </row>
        <row r="66">
          <cell r="H66" t="str">
            <v>US84</v>
          </cell>
          <cell r="I66">
            <v>53540.560000000005</v>
          </cell>
          <cell r="J66">
            <v>0</v>
          </cell>
          <cell r="K66">
            <v>286916.67000000074</v>
          </cell>
          <cell r="L66">
            <v>339742.4500000024</v>
          </cell>
          <cell r="M66">
            <v>42617</v>
          </cell>
        </row>
        <row r="67">
          <cell r="H67" t="str">
            <v>US85</v>
          </cell>
          <cell r="I67">
            <v>85325.389999999898</v>
          </cell>
          <cell r="J67">
            <v>0</v>
          </cell>
          <cell r="K67">
            <v>297101.67000000033</v>
          </cell>
          <cell r="L67">
            <v>382393.080000002</v>
          </cell>
          <cell r="M67">
            <v>46905</v>
          </cell>
        </row>
        <row r="68">
          <cell r="H68" t="str">
            <v>US86</v>
          </cell>
          <cell r="I68">
            <v>102574.96999999964</v>
          </cell>
          <cell r="J68">
            <v>0</v>
          </cell>
          <cell r="K68">
            <v>254597.30000000162</v>
          </cell>
          <cell r="L68">
            <v>357081.27000000316</v>
          </cell>
          <cell r="M68">
            <v>43639</v>
          </cell>
        </row>
        <row r="69">
          <cell r="H69" t="str">
            <v>US94</v>
          </cell>
          <cell r="I69">
            <v>41085.729999999945</v>
          </cell>
          <cell r="J69">
            <v>0</v>
          </cell>
          <cell r="K69">
            <v>418870.76000000117</v>
          </cell>
          <cell r="L69">
            <v>459594.70000000251</v>
          </cell>
          <cell r="M69">
            <v>60747</v>
          </cell>
        </row>
        <row r="70">
          <cell r="H70" t="str">
            <v>US95</v>
          </cell>
          <cell r="I70">
            <v>0</v>
          </cell>
          <cell r="J70">
            <v>21019.299999999988</v>
          </cell>
          <cell r="K70">
            <v>352909.76000000216</v>
          </cell>
          <cell r="L70">
            <v>373941.02000000305</v>
          </cell>
          <cell r="M70">
            <v>46045</v>
          </cell>
        </row>
        <row r="71">
          <cell r="H71" t="str">
            <v>US96</v>
          </cell>
          <cell r="I71">
            <v>146712.3000000008</v>
          </cell>
          <cell r="J71">
            <v>0</v>
          </cell>
          <cell r="K71">
            <v>250745.89000000054</v>
          </cell>
          <cell r="L71">
            <v>397458.19000000285</v>
          </cell>
          <cell r="M71">
            <v>51212</v>
          </cell>
        </row>
        <row r="72">
          <cell r="H72" t="str">
            <v>US97</v>
          </cell>
          <cell r="I72">
            <v>82079.419999999809</v>
          </cell>
          <cell r="J72">
            <v>0</v>
          </cell>
          <cell r="K72">
            <v>448485.77000000107</v>
          </cell>
          <cell r="L72">
            <v>529840.95000000275</v>
          </cell>
          <cell r="M72">
            <v>67139</v>
          </cell>
        </row>
        <row r="73">
          <cell r="H73" t="str">
            <v>US98</v>
          </cell>
          <cell r="I73">
            <v>99221.5799999999</v>
          </cell>
          <cell r="J73">
            <v>0</v>
          </cell>
          <cell r="K73">
            <v>475121.4900000018</v>
          </cell>
          <cell r="L73">
            <v>573763.0100000028</v>
          </cell>
          <cell r="M73">
            <v>74870</v>
          </cell>
        </row>
        <row r="74">
          <cell r="H74" t="str">
            <v>US99</v>
          </cell>
          <cell r="I74">
            <v>12640.449999999993</v>
          </cell>
          <cell r="J74">
            <v>0</v>
          </cell>
          <cell r="K74">
            <v>271708.63000000047</v>
          </cell>
          <cell r="L74">
            <v>283835.75000000058</v>
          </cell>
          <cell r="M74">
            <v>33103</v>
          </cell>
        </row>
        <row r="75">
          <cell r="H75" t="str">
            <v>USA1</v>
          </cell>
          <cell r="I75">
            <v>0</v>
          </cell>
          <cell r="J75">
            <v>23343.279999999992</v>
          </cell>
          <cell r="K75">
            <v>378961.85000000044</v>
          </cell>
          <cell r="L75">
            <v>402268.51000000123</v>
          </cell>
          <cell r="M75">
            <v>47751</v>
          </cell>
        </row>
        <row r="76">
          <cell r="H76" t="str">
            <v>USA2</v>
          </cell>
          <cell r="I76">
            <v>257641.88000000361</v>
          </cell>
          <cell r="J76">
            <v>16467.090000000004</v>
          </cell>
          <cell r="K76">
            <v>219758.23000000053</v>
          </cell>
          <cell r="L76">
            <v>493651.92000000377</v>
          </cell>
          <cell r="M76">
            <v>61430</v>
          </cell>
        </row>
        <row r="77">
          <cell r="H77" t="str">
            <v>USA3</v>
          </cell>
          <cell r="I77">
            <v>108703.20999999966</v>
          </cell>
          <cell r="J77">
            <v>0</v>
          </cell>
          <cell r="K77">
            <v>363279.76000000088</v>
          </cell>
          <cell r="L77">
            <v>469912.50000000378</v>
          </cell>
          <cell r="M77">
            <v>60410</v>
          </cell>
        </row>
        <row r="78">
          <cell r="H78" t="str">
            <v>USA4</v>
          </cell>
          <cell r="I78">
            <v>919574.97000000742</v>
          </cell>
          <cell r="J78">
            <v>46547.85999999995</v>
          </cell>
          <cell r="K78">
            <v>-412915.03999999963</v>
          </cell>
          <cell r="L78">
            <v>553476.89000000304</v>
          </cell>
          <cell r="M78">
            <v>68724</v>
          </cell>
        </row>
        <row r="79">
          <cell r="H79" t="str">
            <v>USA5</v>
          </cell>
          <cell r="I79">
            <v>47534.069999999978</v>
          </cell>
          <cell r="J79">
            <v>32644.129999999986</v>
          </cell>
          <cell r="K79">
            <v>388422.21999999991</v>
          </cell>
          <cell r="L79">
            <v>468166.87000000046</v>
          </cell>
          <cell r="M79">
            <v>58880</v>
          </cell>
        </row>
        <row r="80">
          <cell r="H80" t="str">
            <v>USA7</v>
          </cell>
          <cell r="I80">
            <v>25785.679999999997</v>
          </cell>
          <cell r="J80">
            <v>0</v>
          </cell>
          <cell r="K80">
            <v>319242.72000000032</v>
          </cell>
          <cell r="L80">
            <v>344898.60000000114</v>
          </cell>
          <cell r="M80">
            <v>41904</v>
          </cell>
        </row>
        <row r="81">
          <cell r="H81" t="str">
            <v>USA8</v>
          </cell>
          <cell r="I81">
            <v>94276.489999999612</v>
          </cell>
          <cell r="J81">
            <v>0</v>
          </cell>
          <cell r="K81">
            <v>413193.1000000026</v>
          </cell>
          <cell r="L81">
            <v>507148.64000000426</v>
          </cell>
          <cell r="M81">
            <v>63368</v>
          </cell>
        </row>
        <row r="82">
          <cell r="H82" t="str">
            <v>USA9</v>
          </cell>
          <cell r="I82">
            <v>216077.76000000237</v>
          </cell>
          <cell r="J82">
            <v>0</v>
          </cell>
          <cell r="K82">
            <v>279930.43000000046</v>
          </cell>
          <cell r="L82">
            <v>495565.67000000755</v>
          </cell>
          <cell r="M82">
            <v>63189</v>
          </cell>
        </row>
        <row r="83">
          <cell r="H83" t="str">
            <v>USAA</v>
          </cell>
          <cell r="I83">
            <v>169669.40999999974</v>
          </cell>
          <cell r="J83">
            <v>26726.489999999998</v>
          </cell>
          <cell r="K83">
            <v>1900706.3299999894</v>
          </cell>
          <cell r="L83">
            <v>2096243.1599999866</v>
          </cell>
          <cell r="M83">
            <v>278986</v>
          </cell>
        </row>
        <row r="84">
          <cell r="H84" t="str">
            <v>USB1</v>
          </cell>
          <cell r="I84">
            <v>388156.20000000438</v>
          </cell>
          <cell r="J84">
            <v>0</v>
          </cell>
          <cell r="K84">
            <v>0</v>
          </cell>
          <cell r="L84">
            <v>388156.20000000438</v>
          </cell>
          <cell r="M84">
            <v>50864</v>
          </cell>
        </row>
        <row r="85">
          <cell r="H85" t="str">
            <v>USB5</v>
          </cell>
          <cell r="I85">
            <v>320172.63000000268</v>
          </cell>
          <cell r="J85">
            <v>67223.880000000019</v>
          </cell>
          <cell r="K85">
            <v>0</v>
          </cell>
          <cell r="L85">
            <v>387396.51000000362</v>
          </cell>
          <cell r="M85">
            <v>45953</v>
          </cell>
        </row>
        <row r="86">
          <cell r="H86" t="str">
            <v>USB6</v>
          </cell>
          <cell r="I86">
            <v>224160.3900000015</v>
          </cell>
          <cell r="J86">
            <v>0</v>
          </cell>
          <cell r="K86">
            <v>202011.74000000118</v>
          </cell>
          <cell r="L86">
            <v>425741.57000000565</v>
          </cell>
          <cell r="M86">
            <v>55399</v>
          </cell>
        </row>
        <row r="87">
          <cell r="H87" t="str">
            <v>USB7</v>
          </cell>
          <cell r="I87">
            <v>0</v>
          </cell>
          <cell r="J87">
            <v>497481.25000000553</v>
          </cell>
          <cell r="K87">
            <v>0</v>
          </cell>
          <cell r="L87">
            <v>497481.25000000553</v>
          </cell>
          <cell r="M87">
            <v>60999</v>
          </cell>
        </row>
        <row r="88">
          <cell r="H88" t="str">
            <v>USB8</v>
          </cell>
          <cell r="I88">
            <v>550987.87000000873</v>
          </cell>
          <cell r="J88">
            <v>0</v>
          </cell>
          <cell r="K88">
            <v>-178616.27000000063</v>
          </cell>
          <cell r="L88">
            <v>372371.60000000359</v>
          </cell>
          <cell r="M88">
            <v>45007</v>
          </cell>
        </row>
        <row r="89">
          <cell r="H89" t="str">
            <v>USC8</v>
          </cell>
          <cell r="I89">
            <v>445345.9500000077</v>
          </cell>
          <cell r="J89">
            <v>43375.779999999962</v>
          </cell>
          <cell r="K89">
            <v>-48752.719999999928</v>
          </cell>
          <cell r="L89">
            <v>440091.6000000065</v>
          </cell>
          <cell r="M89">
            <v>55352</v>
          </cell>
        </row>
        <row r="90">
          <cell r="H90" t="str">
            <v>USD6</v>
          </cell>
          <cell r="I90">
            <v>434231.2000000077</v>
          </cell>
          <cell r="J90">
            <v>0</v>
          </cell>
          <cell r="K90">
            <v>-86636.940000000483</v>
          </cell>
          <cell r="L90">
            <v>347594.26000000368</v>
          </cell>
          <cell r="M90">
            <v>45461</v>
          </cell>
        </row>
        <row r="91">
          <cell r="H91" t="str">
            <v>USD7</v>
          </cell>
          <cell r="I91">
            <v>66211.749999999956</v>
          </cell>
          <cell r="J91">
            <v>29564.939999999955</v>
          </cell>
          <cell r="K91">
            <v>299379.7599999996</v>
          </cell>
          <cell r="L91">
            <v>394522.57000000076</v>
          </cell>
          <cell r="M91">
            <v>49197</v>
          </cell>
        </row>
        <row r="92">
          <cell r="H92" t="str">
            <v>USF6</v>
          </cell>
          <cell r="I92">
            <v>0</v>
          </cell>
          <cell r="J92">
            <v>386641.66000000364</v>
          </cell>
          <cell r="K92">
            <v>0</v>
          </cell>
          <cell r="L92">
            <v>386641.66000000364</v>
          </cell>
          <cell r="M92">
            <v>46106</v>
          </cell>
        </row>
        <row r="93">
          <cell r="H93" t="str">
            <v>Grand Total</v>
          </cell>
          <cell r="I93">
            <v>9119903.3400000446</v>
          </cell>
          <cell r="J93">
            <v>1700039.9400000088</v>
          </cell>
          <cell r="K93">
            <v>30712514.17999997</v>
          </cell>
          <cell r="L93">
            <v>41508059.130000092</v>
          </cell>
          <cell r="M93">
            <v>5319591</v>
          </cell>
        </row>
      </sheetData>
      <sheetData sheetId="1"/>
      <sheetData sheetId="2"/>
      <sheetData sheetId="3">
        <row r="2">
          <cell r="D2" t="str">
            <v>US01</v>
          </cell>
          <cell r="E2">
            <v>1587</v>
          </cell>
        </row>
        <row r="3">
          <cell r="D3" t="str">
            <v>US03</v>
          </cell>
          <cell r="E3">
            <v>2481</v>
          </cell>
          <cell r="J3" t="str">
            <v>US01</v>
          </cell>
          <cell r="K3">
            <v>361</v>
          </cell>
          <cell r="P3" t="str">
            <v>US01</v>
          </cell>
          <cell r="Q3">
            <v>3221</v>
          </cell>
        </row>
        <row r="4">
          <cell r="D4" t="str">
            <v>US05</v>
          </cell>
          <cell r="E4">
            <v>2183</v>
          </cell>
          <cell r="J4" t="str">
            <v>US03</v>
          </cell>
          <cell r="K4">
            <v>387</v>
          </cell>
          <cell r="P4" t="str">
            <v>US03</v>
          </cell>
          <cell r="Q4">
            <v>3154</v>
          </cell>
        </row>
        <row r="5">
          <cell r="D5" t="str">
            <v>US08</v>
          </cell>
          <cell r="E5">
            <v>1583</v>
          </cell>
          <cell r="J5" t="str">
            <v>US05</v>
          </cell>
          <cell r="K5">
            <v>418</v>
          </cell>
          <cell r="P5" t="str">
            <v>US05</v>
          </cell>
          <cell r="Q5">
            <v>5364</v>
          </cell>
        </row>
        <row r="6">
          <cell r="D6" t="str">
            <v>US09</v>
          </cell>
          <cell r="E6">
            <v>1207</v>
          </cell>
          <cell r="J6" t="str">
            <v>US08</v>
          </cell>
          <cell r="K6">
            <v>535</v>
          </cell>
          <cell r="P6" t="str">
            <v>US08</v>
          </cell>
          <cell r="Q6">
            <v>2924</v>
          </cell>
        </row>
        <row r="7">
          <cell r="D7" t="str">
            <v>US10</v>
          </cell>
          <cell r="E7">
            <v>3507</v>
          </cell>
          <cell r="J7" t="str">
            <v>US09</v>
          </cell>
          <cell r="K7">
            <v>312</v>
          </cell>
          <cell r="P7" t="str">
            <v>US09</v>
          </cell>
          <cell r="Q7">
            <v>2211</v>
          </cell>
        </row>
        <row r="8">
          <cell r="D8" t="str">
            <v>US11</v>
          </cell>
          <cell r="E8">
            <v>2064</v>
          </cell>
          <cell r="J8" t="str">
            <v>US10</v>
          </cell>
          <cell r="K8">
            <v>645</v>
          </cell>
          <cell r="P8" t="str">
            <v>US10</v>
          </cell>
          <cell r="Q8">
            <v>5968</v>
          </cell>
        </row>
        <row r="9">
          <cell r="D9" t="str">
            <v>US13</v>
          </cell>
          <cell r="E9">
            <v>2718</v>
          </cell>
          <cell r="J9" t="str">
            <v>US11</v>
          </cell>
          <cell r="K9">
            <v>587</v>
          </cell>
          <cell r="P9" t="str">
            <v>US11</v>
          </cell>
          <cell r="Q9">
            <v>3106</v>
          </cell>
        </row>
        <row r="10">
          <cell r="D10" t="str">
            <v>US15</v>
          </cell>
          <cell r="E10">
            <v>4238</v>
          </cell>
          <cell r="J10" t="str">
            <v>US13</v>
          </cell>
          <cell r="K10">
            <v>871</v>
          </cell>
          <cell r="P10" t="str">
            <v>US13</v>
          </cell>
          <cell r="Q10">
            <v>5967</v>
          </cell>
        </row>
        <row r="11">
          <cell r="D11" t="str">
            <v>US16</v>
          </cell>
          <cell r="E11">
            <v>2060</v>
          </cell>
          <cell r="J11" t="str">
            <v>US15</v>
          </cell>
          <cell r="K11">
            <v>798</v>
          </cell>
          <cell r="P11" t="str">
            <v>US15</v>
          </cell>
          <cell r="Q11">
            <v>5595</v>
          </cell>
        </row>
        <row r="12">
          <cell r="D12" t="str">
            <v>US17</v>
          </cell>
          <cell r="E12">
            <v>1841</v>
          </cell>
          <cell r="J12" t="str">
            <v>US16</v>
          </cell>
          <cell r="K12">
            <v>361</v>
          </cell>
          <cell r="P12" t="str">
            <v>US16</v>
          </cell>
          <cell r="Q12">
            <v>3876</v>
          </cell>
        </row>
        <row r="13">
          <cell r="D13" t="str">
            <v>US18</v>
          </cell>
          <cell r="E13">
            <v>1932</v>
          </cell>
          <cell r="J13" t="str">
            <v>US17</v>
          </cell>
          <cell r="K13">
            <v>456</v>
          </cell>
          <cell r="P13" t="str">
            <v>US17</v>
          </cell>
          <cell r="Q13">
            <v>2972</v>
          </cell>
        </row>
        <row r="14">
          <cell r="D14" t="str">
            <v>US19</v>
          </cell>
          <cell r="E14">
            <v>4491</v>
          </cell>
          <cell r="J14" t="str">
            <v>US18</v>
          </cell>
          <cell r="K14">
            <v>363</v>
          </cell>
          <cell r="P14" t="str">
            <v>US18</v>
          </cell>
          <cell r="Q14">
            <v>2301</v>
          </cell>
        </row>
        <row r="15">
          <cell r="D15" t="str">
            <v>US20</v>
          </cell>
          <cell r="E15">
            <v>4049</v>
          </cell>
          <cell r="J15" t="str">
            <v>US19</v>
          </cell>
          <cell r="K15">
            <v>1000</v>
          </cell>
          <cell r="P15" t="str">
            <v>US19</v>
          </cell>
          <cell r="Q15">
            <v>8621</v>
          </cell>
        </row>
        <row r="16">
          <cell r="D16" t="str">
            <v>US21</v>
          </cell>
          <cell r="E16">
            <v>2997</v>
          </cell>
          <cell r="J16" t="str">
            <v>US20</v>
          </cell>
          <cell r="K16">
            <v>706</v>
          </cell>
          <cell r="P16" t="str">
            <v>US20</v>
          </cell>
          <cell r="Q16">
            <v>5893</v>
          </cell>
        </row>
        <row r="17">
          <cell r="D17" t="str">
            <v>US22</v>
          </cell>
          <cell r="E17">
            <v>2969</v>
          </cell>
          <cell r="J17" t="str">
            <v>US21</v>
          </cell>
          <cell r="K17">
            <v>946</v>
          </cell>
          <cell r="P17" t="str">
            <v>US21</v>
          </cell>
          <cell r="Q17">
            <v>5791</v>
          </cell>
        </row>
        <row r="18">
          <cell r="D18" t="str">
            <v>US23</v>
          </cell>
          <cell r="E18">
            <v>3075</v>
          </cell>
          <cell r="J18" t="str">
            <v>US22</v>
          </cell>
          <cell r="K18">
            <v>343</v>
          </cell>
          <cell r="P18" t="str">
            <v>US22</v>
          </cell>
          <cell r="Q18">
            <v>4479</v>
          </cell>
        </row>
        <row r="19">
          <cell r="D19" t="str">
            <v>US24</v>
          </cell>
          <cell r="E19">
            <v>1846</v>
          </cell>
          <cell r="J19" t="str">
            <v>US23</v>
          </cell>
          <cell r="K19">
            <v>375</v>
          </cell>
          <cell r="P19" t="str">
            <v>US23</v>
          </cell>
          <cell r="Q19">
            <v>4603</v>
          </cell>
        </row>
        <row r="20">
          <cell r="D20" t="str">
            <v>US25</v>
          </cell>
          <cell r="E20">
            <v>2408</v>
          </cell>
          <cell r="J20" t="str">
            <v>US24</v>
          </cell>
          <cell r="K20">
            <v>394</v>
          </cell>
          <cell r="P20" t="str">
            <v>US24</v>
          </cell>
          <cell r="Q20">
            <v>2677</v>
          </cell>
        </row>
        <row r="21">
          <cell r="D21" t="str">
            <v>US26</v>
          </cell>
          <cell r="E21">
            <v>1998</v>
          </cell>
          <cell r="J21" t="str">
            <v>US25</v>
          </cell>
          <cell r="K21">
            <v>521</v>
          </cell>
          <cell r="P21" t="str">
            <v>US25</v>
          </cell>
          <cell r="Q21">
            <v>3438</v>
          </cell>
        </row>
        <row r="22">
          <cell r="D22" t="str">
            <v>US27</v>
          </cell>
          <cell r="E22">
            <v>1694</v>
          </cell>
          <cell r="J22" t="str">
            <v>US26</v>
          </cell>
          <cell r="K22">
            <v>638</v>
          </cell>
          <cell r="P22" t="str">
            <v>US26</v>
          </cell>
          <cell r="Q22">
            <v>3468</v>
          </cell>
        </row>
        <row r="23">
          <cell r="D23" t="str">
            <v>US28</v>
          </cell>
          <cell r="E23">
            <v>2021</v>
          </cell>
          <cell r="J23" t="str">
            <v>US27</v>
          </cell>
          <cell r="K23">
            <v>464</v>
          </cell>
          <cell r="P23" t="str">
            <v>US27</v>
          </cell>
          <cell r="Q23">
            <v>3615</v>
          </cell>
        </row>
        <row r="24">
          <cell r="D24" t="str">
            <v>US29</v>
          </cell>
          <cell r="E24">
            <v>2915</v>
          </cell>
          <cell r="J24" t="str">
            <v>US28</v>
          </cell>
          <cell r="K24">
            <v>474</v>
          </cell>
          <cell r="P24" t="str">
            <v>US28</v>
          </cell>
          <cell r="Q24">
            <v>2388</v>
          </cell>
        </row>
        <row r="25">
          <cell r="D25" t="str">
            <v>US30</v>
          </cell>
          <cell r="E25">
            <v>1948</v>
          </cell>
          <cell r="J25" t="str">
            <v>US29</v>
          </cell>
          <cell r="K25">
            <v>378</v>
          </cell>
          <cell r="P25" t="str">
            <v>US29</v>
          </cell>
          <cell r="Q25">
            <v>2768</v>
          </cell>
        </row>
        <row r="26">
          <cell r="D26" t="str">
            <v>US34</v>
          </cell>
          <cell r="E26">
            <v>2938</v>
          </cell>
          <cell r="J26" t="str">
            <v>US30</v>
          </cell>
          <cell r="K26">
            <v>586</v>
          </cell>
          <cell r="P26" t="str">
            <v>US30</v>
          </cell>
          <cell r="Q26">
            <v>3248</v>
          </cell>
        </row>
        <row r="27">
          <cell r="D27" t="str">
            <v>US35</v>
          </cell>
          <cell r="E27">
            <v>3486</v>
          </cell>
          <cell r="J27" t="str">
            <v>US34</v>
          </cell>
          <cell r="K27">
            <v>468</v>
          </cell>
          <cell r="P27" t="str">
            <v>US34</v>
          </cell>
          <cell r="Q27">
            <v>2293</v>
          </cell>
        </row>
        <row r="28">
          <cell r="D28" t="str">
            <v>US38</v>
          </cell>
          <cell r="E28">
            <v>5177</v>
          </cell>
          <cell r="J28" t="str">
            <v>US35</v>
          </cell>
          <cell r="K28">
            <v>761</v>
          </cell>
          <cell r="P28" t="str">
            <v>US35</v>
          </cell>
          <cell r="Q28">
            <v>4132</v>
          </cell>
        </row>
        <row r="29">
          <cell r="D29" t="str">
            <v>US39</v>
          </cell>
          <cell r="E29">
            <v>2109</v>
          </cell>
          <cell r="J29" t="str">
            <v>US38</v>
          </cell>
          <cell r="K29">
            <v>1096</v>
          </cell>
          <cell r="P29" t="str">
            <v>US38</v>
          </cell>
          <cell r="Q29">
            <v>7181</v>
          </cell>
        </row>
        <row r="30">
          <cell r="D30" t="str">
            <v>US42</v>
          </cell>
          <cell r="E30">
            <v>2050</v>
          </cell>
          <cell r="J30" t="str">
            <v>US39</v>
          </cell>
          <cell r="K30">
            <v>243</v>
          </cell>
          <cell r="P30" t="str">
            <v>US39</v>
          </cell>
          <cell r="Q30">
            <v>3583</v>
          </cell>
        </row>
        <row r="31">
          <cell r="D31" t="str">
            <v>US43</v>
          </cell>
          <cell r="E31">
            <v>2711</v>
          </cell>
          <cell r="J31" t="str">
            <v>US42</v>
          </cell>
          <cell r="K31">
            <v>277</v>
          </cell>
          <cell r="P31" t="str">
            <v>US42</v>
          </cell>
          <cell r="Q31">
            <v>2582</v>
          </cell>
        </row>
        <row r="32">
          <cell r="D32" t="str">
            <v>US45</v>
          </cell>
          <cell r="E32">
            <v>1361</v>
          </cell>
          <cell r="J32" t="str">
            <v>US43</v>
          </cell>
          <cell r="K32">
            <v>7</v>
          </cell>
          <cell r="P32" t="str">
            <v>US43</v>
          </cell>
          <cell r="Q32">
            <v>4605</v>
          </cell>
        </row>
        <row r="33">
          <cell r="D33" t="str">
            <v>US46</v>
          </cell>
          <cell r="E33">
            <v>2126</v>
          </cell>
          <cell r="J33" t="str">
            <v>US45</v>
          </cell>
          <cell r="K33">
            <v>442</v>
          </cell>
          <cell r="P33" t="str">
            <v>US45</v>
          </cell>
          <cell r="Q33">
            <v>2219</v>
          </cell>
        </row>
        <row r="34">
          <cell r="D34" t="str">
            <v>US47</v>
          </cell>
          <cell r="E34">
            <v>1969</v>
          </cell>
          <cell r="J34" t="str">
            <v>US46</v>
          </cell>
          <cell r="K34">
            <v>443</v>
          </cell>
          <cell r="P34" t="str">
            <v>US46</v>
          </cell>
          <cell r="Q34">
            <v>2644</v>
          </cell>
        </row>
        <row r="35">
          <cell r="D35" t="str">
            <v>US48</v>
          </cell>
          <cell r="E35">
            <v>2873</v>
          </cell>
          <cell r="J35" t="str">
            <v>US47</v>
          </cell>
          <cell r="K35">
            <v>385</v>
          </cell>
          <cell r="P35" t="str">
            <v>US47</v>
          </cell>
          <cell r="Q35">
            <v>3823</v>
          </cell>
        </row>
        <row r="36">
          <cell r="D36" t="str">
            <v>US49</v>
          </cell>
          <cell r="E36">
            <v>2638</v>
          </cell>
          <cell r="J36" t="str">
            <v>US48</v>
          </cell>
          <cell r="K36">
            <v>962</v>
          </cell>
          <cell r="P36" t="str">
            <v>US48</v>
          </cell>
          <cell r="Q36">
            <v>7363</v>
          </cell>
        </row>
        <row r="37">
          <cell r="D37" t="str">
            <v>US51</v>
          </cell>
          <cell r="E37">
            <v>2519</v>
          </cell>
          <cell r="J37" t="str">
            <v>US49</v>
          </cell>
          <cell r="K37">
            <v>371</v>
          </cell>
          <cell r="P37" t="str">
            <v>US49</v>
          </cell>
          <cell r="Q37">
            <v>6616</v>
          </cell>
        </row>
        <row r="38">
          <cell r="D38" t="str">
            <v>US52</v>
          </cell>
          <cell r="E38">
            <v>2694</v>
          </cell>
          <cell r="J38" t="str">
            <v>US51</v>
          </cell>
          <cell r="K38">
            <v>513</v>
          </cell>
          <cell r="P38" t="str">
            <v>US51</v>
          </cell>
          <cell r="Q38">
            <v>3912</v>
          </cell>
        </row>
        <row r="39">
          <cell r="D39" t="str">
            <v>US53</v>
          </cell>
          <cell r="E39">
            <v>1881</v>
          </cell>
          <cell r="J39" t="str">
            <v>US52</v>
          </cell>
          <cell r="K39">
            <v>453</v>
          </cell>
          <cell r="P39" t="str">
            <v>US52</v>
          </cell>
          <cell r="Q39">
            <v>2508</v>
          </cell>
        </row>
        <row r="40">
          <cell r="D40" t="str">
            <v>US54</v>
          </cell>
          <cell r="E40">
            <v>1996</v>
          </cell>
          <cell r="J40" t="str">
            <v>US53</v>
          </cell>
          <cell r="K40">
            <v>395</v>
          </cell>
          <cell r="P40" t="str">
            <v>US53</v>
          </cell>
          <cell r="Q40">
            <v>3320</v>
          </cell>
        </row>
        <row r="41">
          <cell r="D41" t="str">
            <v>US55</v>
          </cell>
          <cell r="E41">
            <v>2239</v>
          </cell>
          <cell r="J41" t="str">
            <v>US54</v>
          </cell>
          <cell r="K41">
            <v>291</v>
          </cell>
          <cell r="P41" t="str">
            <v>US54</v>
          </cell>
          <cell r="Q41">
            <v>2635</v>
          </cell>
        </row>
        <row r="42">
          <cell r="D42" t="str">
            <v>US56</v>
          </cell>
          <cell r="E42">
            <v>1812</v>
          </cell>
          <cell r="J42" t="str">
            <v>US55</v>
          </cell>
          <cell r="K42">
            <v>621</v>
          </cell>
          <cell r="P42" t="str">
            <v>US55</v>
          </cell>
          <cell r="Q42">
            <v>2481</v>
          </cell>
        </row>
        <row r="43">
          <cell r="D43" t="str">
            <v>US57</v>
          </cell>
          <cell r="E43">
            <v>1527</v>
          </cell>
          <cell r="J43" t="str">
            <v>US56</v>
          </cell>
          <cell r="K43">
            <v>534</v>
          </cell>
          <cell r="P43" t="str">
            <v>US56</v>
          </cell>
          <cell r="Q43">
            <v>3661</v>
          </cell>
        </row>
        <row r="44">
          <cell r="D44" t="str">
            <v>US58</v>
          </cell>
          <cell r="E44">
            <v>2098</v>
          </cell>
          <cell r="J44" t="str">
            <v>US57</v>
          </cell>
          <cell r="K44">
            <v>380</v>
          </cell>
          <cell r="P44" t="str">
            <v>US57</v>
          </cell>
          <cell r="Q44">
            <v>2933</v>
          </cell>
        </row>
        <row r="45">
          <cell r="D45" t="str">
            <v>US59</v>
          </cell>
          <cell r="E45">
            <v>1986</v>
          </cell>
          <cell r="J45" t="str">
            <v>US58</v>
          </cell>
          <cell r="K45">
            <v>388</v>
          </cell>
          <cell r="P45" t="str">
            <v>US58</v>
          </cell>
          <cell r="Q45">
            <v>3427</v>
          </cell>
        </row>
        <row r="46">
          <cell r="D46" t="str">
            <v>US60</v>
          </cell>
          <cell r="E46">
            <v>2648</v>
          </cell>
          <cell r="J46" t="str">
            <v>US59</v>
          </cell>
          <cell r="K46">
            <v>470</v>
          </cell>
          <cell r="P46" t="str">
            <v>US59</v>
          </cell>
          <cell r="Q46">
            <v>2876</v>
          </cell>
        </row>
        <row r="47">
          <cell r="D47" t="str">
            <v>US61</v>
          </cell>
          <cell r="E47">
            <v>1754</v>
          </cell>
          <cell r="J47" t="str">
            <v>US60</v>
          </cell>
          <cell r="K47">
            <v>540</v>
          </cell>
          <cell r="P47" t="str">
            <v>US60</v>
          </cell>
          <cell r="Q47">
            <v>3473</v>
          </cell>
        </row>
        <row r="48">
          <cell r="D48" t="str">
            <v>US64</v>
          </cell>
          <cell r="E48">
            <v>5030</v>
          </cell>
          <cell r="J48" t="str">
            <v>US61</v>
          </cell>
          <cell r="K48">
            <v>243</v>
          </cell>
          <cell r="P48" t="str">
            <v>US61</v>
          </cell>
          <cell r="Q48">
            <v>2989</v>
          </cell>
        </row>
        <row r="49">
          <cell r="D49" t="str">
            <v>US65</v>
          </cell>
          <cell r="E49">
            <v>7257</v>
          </cell>
          <cell r="J49" t="str">
            <v>US64</v>
          </cell>
          <cell r="K49">
            <v>871</v>
          </cell>
          <cell r="P49" t="str">
            <v>US64</v>
          </cell>
          <cell r="Q49">
            <v>6204</v>
          </cell>
        </row>
        <row r="50">
          <cell r="D50" t="str">
            <v>US66</v>
          </cell>
          <cell r="E50">
            <v>2969</v>
          </cell>
          <cell r="J50" t="str">
            <v>US65</v>
          </cell>
          <cell r="K50">
            <v>1475</v>
          </cell>
          <cell r="P50" t="str">
            <v>US65</v>
          </cell>
          <cell r="Q50">
            <v>9983</v>
          </cell>
        </row>
        <row r="51">
          <cell r="D51" t="str">
            <v>US67</v>
          </cell>
          <cell r="E51">
            <v>2278</v>
          </cell>
          <cell r="J51" t="str">
            <v>US66</v>
          </cell>
          <cell r="K51">
            <v>692</v>
          </cell>
          <cell r="P51" t="str">
            <v>US66</v>
          </cell>
          <cell r="Q51">
            <v>5031</v>
          </cell>
        </row>
        <row r="52">
          <cell r="D52" t="str">
            <v>US69</v>
          </cell>
          <cell r="E52">
            <v>3144</v>
          </cell>
          <cell r="J52" t="str">
            <v>US67</v>
          </cell>
          <cell r="K52">
            <v>361</v>
          </cell>
          <cell r="P52" t="str">
            <v>US67</v>
          </cell>
          <cell r="Q52">
            <v>3237</v>
          </cell>
        </row>
        <row r="53">
          <cell r="D53" t="str">
            <v>US70</v>
          </cell>
          <cell r="E53">
            <v>2843</v>
          </cell>
          <cell r="J53" t="str">
            <v>US69</v>
          </cell>
          <cell r="K53">
            <v>589</v>
          </cell>
          <cell r="P53" t="str">
            <v>US69</v>
          </cell>
          <cell r="Q53">
            <v>4872</v>
          </cell>
        </row>
        <row r="54">
          <cell r="D54" t="str">
            <v>US71</v>
          </cell>
          <cell r="E54">
            <v>2760</v>
          </cell>
          <cell r="J54" t="str">
            <v>US70</v>
          </cell>
          <cell r="K54">
            <v>407</v>
          </cell>
          <cell r="P54" t="str">
            <v>US70</v>
          </cell>
          <cell r="Q54">
            <v>3981</v>
          </cell>
        </row>
        <row r="55">
          <cell r="D55" t="str">
            <v>US72</v>
          </cell>
          <cell r="E55">
            <v>2844</v>
          </cell>
          <cell r="J55" t="str">
            <v>US71</v>
          </cell>
          <cell r="K55">
            <v>537</v>
          </cell>
          <cell r="P55" t="str">
            <v>US71</v>
          </cell>
          <cell r="Q55">
            <v>3151</v>
          </cell>
        </row>
        <row r="56">
          <cell r="D56" t="str">
            <v>US73</v>
          </cell>
          <cell r="E56">
            <v>1982</v>
          </cell>
          <cell r="J56" t="str">
            <v>US72</v>
          </cell>
          <cell r="K56">
            <v>638</v>
          </cell>
          <cell r="P56" t="str">
            <v>US72</v>
          </cell>
          <cell r="Q56">
            <v>3362</v>
          </cell>
        </row>
        <row r="57">
          <cell r="D57" t="str">
            <v>US74</v>
          </cell>
          <cell r="E57">
            <v>3118</v>
          </cell>
          <cell r="J57" t="str">
            <v>US73</v>
          </cell>
          <cell r="K57">
            <v>480</v>
          </cell>
          <cell r="P57" t="str">
            <v>US73</v>
          </cell>
          <cell r="Q57">
            <v>2656</v>
          </cell>
        </row>
        <row r="58">
          <cell r="D58" t="str">
            <v>US75</v>
          </cell>
          <cell r="E58">
            <v>1895</v>
          </cell>
          <cell r="J58" t="str">
            <v>US74</v>
          </cell>
          <cell r="K58">
            <v>790</v>
          </cell>
          <cell r="P58" t="str">
            <v>US74</v>
          </cell>
          <cell r="Q58">
            <v>5570</v>
          </cell>
        </row>
        <row r="59">
          <cell r="D59" t="str">
            <v>US76</v>
          </cell>
          <cell r="E59">
            <v>2530</v>
          </cell>
          <cell r="J59" t="str">
            <v>US75</v>
          </cell>
          <cell r="K59">
            <v>468</v>
          </cell>
          <cell r="P59" t="str">
            <v>US75</v>
          </cell>
          <cell r="Q59">
            <v>3585</v>
          </cell>
        </row>
        <row r="60">
          <cell r="D60" t="str">
            <v>US77</v>
          </cell>
          <cell r="E60">
            <v>3425</v>
          </cell>
          <cell r="J60" t="str">
            <v>US76</v>
          </cell>
          <cell r="K60">
            <v>582</v>
          </cell>
          <cell r="P60" t="str">
            <v>US76</v>
          </cell>
          <cell r="Q60">
            <v>4319</v>
          </cell>
        </row>
        <row r="61">
          <cell r="D61" t="str">
            <v>US78</v>
          </cell>
          <cell r="E61">
            <v>2275</v>
          </cell>
          <cell r="J61" t="str">
            <v>US77</v>
          </cell>
          <cell r="K61">
            <v>566</v>
          </cell>
          <cell r="P61" t="str">
            <v>US77</v>
          </cell>
          <cell r="Q61">
            <v>5783</v>
          </cell>
        </row>
        <row r="62">
          <cell r="D62" t="str">
            <v>US80</v>
          </cell>
          <cell r="E62">
            <v>2450</v>
          </cell>
          <cell r="J62" t="str">
            <v>US78</v>
          </cell>
          <cell r="K62">
            <v>486</v>
          </cell>
          <cell r="P62" t="str">
            <v>US78</v>
          </cell>
          <cell r="Q62">
            <v>3470</v>
          </cell>
        </row>
        <row r="63">
          <cell r="D63" t="str">
            <v>US81</v>
          </cell>
          <cell r="E63">
            <v>2645</v>
          </cell>
          <cell r="J63" t="str">
            <v>US80</v>
          </cell>
          <cell r="K63">
            <v>592</v>
          </cell>
          <cell r="P63" t="str">
            <v>US80</v>
          </cell>
          <cell r="Q63">
            <v>6289</v>
          </cell>
        </row>
        <row r="64">
          <cell r="D64" t="str">
            <v>US82</v>
          </cell>
          <cell r="E64">
            <v>2781</v>
          </cell>
          <cell r="J64" t="str">
            <v>US81</v>
          </cell>
          <cell r="K64">
            <v>572</v>
          </cell>
          <cell r="P64" t="str">
            <v>US81</v>
          </cell>
          <cell r="Q64">
            <v>3318</v>
          </cell>
        </row>
        <row r="65">
          <cell r="D65" t="str">
            <v>US83</v>
          </cell>
          <cell r="E65">
            <v>2974</v>
          </cell>
          <cell r="J65" t="str">
            <v>US82</v>
          </cell>
          <cell r="K65">
            <v>538</v>
          </cell>
          <cell r="P65" t="str">
            <v>US82</v>
          </cell>
          <cell r="Q65">
            <v>3857</v>
          </cell>
        </row>
        <row r="66">
          <cell r="D66" t="str">
            <v>US84</v>
          </cell>
          <cell r="E66">
            <v>2241</v>
          </cell>
          <cell r="J66" t="str">
            <v>US83</v>
          </cell>
          <cell r="K66">
            <v>676</v>
          </cell>
          <cell r="P66" t="str">
            <v>US83</v>
          </cell>
          <cell r="Q66">
            <v>4662</v>
          </cell>
        </row>
        <row r="67">
          <cell r="D67" t="str">
            <v>US85</v>
          </cell>
          <cell r="E67">
            <v>2478</v>
          </cell>
          <cell r="J67" t="str">
            <v>US84</v>
          </cell>
          <cell r="K67">
            <v>462</v>
          </cell>
          <cell r="P67" t="str">
            <v>US84</v>
          </cell>
          <cell r="Q67">
            <v>2632</v>
          </cell>
        </row>
        <row r="68">
          <cell r="D68" t="str">
            <v>US86</v>
          </cell>
          <cell r="E68">
            <v>2722</v>
          </cell>
          <cell r="J68" t="str">
            <v>US85</v>
          </cell>
          <cell r="K68">
            <v>525</v>
          </cell>
          <cell r="P68" t="str">
            <v>US85</v>
          </cell>
          <cell r="Q68">
            <v>3275</v>
          </cell>
        </row>
        <row r="69">
          <cell r="D69" t="str">
            <v>US94</v>
          </cell>
          <cell r="E69">
            <v>2100</v>
          </cell>
          <cell r="J69" t="str">
            <v>US86</v>
          </cell>
          <cell r="K69">
            <v>548</v>
          </cell>
          <cell r="P69" t="str">
            <v>US86</v>
          </cell>
          <cell r="Q69">
            <v>3288</v>
          </cell>
        </row>
        <row r="70">
          <cell r="D70" t="str">
            <v>US95</v>
          </cell>
          <cell r="E70">
            <v>2615</v>
          </cell>
          <cell r="J70" t="str">
            <v>US94</v>
          </cell>
          <cell r="K70">
            <v>572</v>
          </cell>
          <cell r="P70" t="str">
            <v>US94</v>
          </cell>
          <cell r="Q70">
            <v>4918</v>
          </cell>
        </row>
        <row r="71">
          <cell r="D71" t="str">
            <v>US96</v>
          </cell>
          <cell r="E71">
            <v>3000</v>
          </cell>
          <cell r="J71" t="str">
            <v>US95</v>
          </cell>
          <cell r="K71">
            <v>522</v>
          </cell>
          <cell r="P71" t="str">
            <v>US95</v>
          </cell>
          <cell r="Q71">
            <v>4551</v>
          </cell>
        </row>
        <row r="72">
          <cell r="D72" t="str">
            <v>US97</v>
          </cell>
          <cell r="E72">
            <v>3297</v>
          </cell>
          <cell r="J72" t="str">
            <v>US96</v>
          </cell>
          <cell r="K72">
            <v>650</v>
          </cell>
          <cell r="P72" t="str">
            <v>US96</v>
          </cell>
          <cell r="Q72">
            <v>4468</v>
          </cell>
        </row>
        <row r="73">
          <cell r="D73" t="str">
            <v>US98</v>
          </cell>
          <cell r="E73">
            <v>3033</v>
          </cell>
          <cell r="J73" t="str">
            <v>US97</v>
          </cell>
          <cell r="K73">
            <v>632</v>
          </cell>
          <cell r="P73" t="str">
            <v>US97</v>
          </cell>
          <cell r="Q73">
            <v>6044</v>
          </cell>
        </row>
        <row r="74">
          <cell r="D74" t="str">
            <v>US99</v>
          </cell>
          <cell r="E74">
            <v>2912</v>
          </cell>
          <cell r="J74" t="str">
            <v>US98</v>
          </cell>
          <cell r="K74">
            <v>432</v>
          </cell>
          <cell r="P74" t="str">
            <v>US98</v>
          </cell>
          <cell r="Q74">
            <v>7103</v>
          </cell>
        </row>
        <row r="75">
          <cell r="D75" t="str">
            <v>USA1</v>
          </cell>
          <cell r="E75">
            <v>3198</v>
          </cell>
          <cell r="J75" t="str">
            <v>US99</v>
          </cell>
          <cell r="K75">
            <v>612</v>
          </cell>
          <cell r="P75" t="str">
            <v>US99</v>
          </cell>
          <cell r="Q75">
            <v>3479</v>
          </cell>
        </row>
        <row r="76">
          <cell r="D76" t="str">
            <v>USA2</v>
          </cell>
          <cell r="E76">
            <v>3225</v>
          </cell>
          <cell r="J76" t="str">
            <v>USA1</v>
          </cell>
          <cell r="K76">
            <v>311</v>
          </cell>
          <cell r="P76" t="str">
            <v>USA1</v>
          </cell>
          <cell r="Q76">
            <v>4480</v>
          </cell>
        </row>
        <row r="77">
          <cell r="D77" t="str">
            <v>USA3</v>
          </cell>
          <cell r="E77">
            <v>3265</v>
          </cell>
          <cell r="J77" t="str">
            <v>USA2</v>
          </cell>
          <cell r="K77">
            <v>678</v>
          </cell>
          <cell r="P77" t="str">
            <v>USA2</v>
          </cell>
          <cell r="Q77">
            <v>6717</v>
          </cell>
        </row>
        <row r="78">
          <cell r="D78" t="str">
            <v>USA4</v>
          </cell>
          <cell r="E78">
            <v>3143</v>
          </cell>
          <cell r="J78" t="str">
            <v>USA3</v>
          </cell>
          <cell r="K78">
            <v>590</v>
          </cell>
          <cell r="P78" t="str">
            <v>USA3</v>
          </cell>
          <cell r="Q78">
            <v>5884</v>
          </cell>
        </row>
        <row r="79">
          <cell r="D79" t="str">
            <v>USA5</v>
          </cell>
          <cell r="E79">
            <v>3023</v>
          </cell>
          <cell r="J79" t="str">
            <v>USA4</v>
          </cell>
          <cell r="K79">
            <v>544</v>
          </cell>
          <cell r="P79" t="str">
            <v>USA4</v>
          </cell>
          <cell r="Q79">
            <v>6568</v>
          </cell>
        </row>
        <row r="80">
          <cell r="D80" t="str">
            <v>USA7</v>
          </cell>
          <cell r="E80">
            <v>1969</v>
          </cell>
          <cell r="J80" t="str">
            <v>USA5</v>
          </cell>
          <cell r="K80">
            <v>748</v>
          </cell>
          <cell r="P80" t="str">
            <v>USA5</v>
          </cell>
          <cell r="Q80">
            <v>5498</v>
          </cell>
        </row>
        <row r="81">
          <cell r="D81" t="str">
            <v>USA8</v>
          </cell>
          <cell r="E81">
            <v>2974</v>
          </cell>
          <cell r="J81" t="str">
            <v>USA7</v>
          </cell>
          <cell r="K81">
            <v>580</v>
          </cell>
          <cell r="P81" t="str">
            <v>USA7</v>
          </cell>
          <cell r="Q81">
            <v>3878</v>
          </cell>
        </row>
        <row r="82">
          <cell r="D82" t="str">
            <v>USA9</v>
          </cell>
          <cell r="E82">
            <v>3055</v>
          </cell>
          <cell r="J82" t="str">
            <v>USA8</v>
          </cell>
          <cell r="K82">
            <v>689</v>
          </cell>
          <cell r="P82" t="str">
            <v>USA8</v>
          </cell>
          <cell r="Q82">
            <v>7297</v>
          </cell>
        </row>
        <row r="83">
          <cell r="D83" t="str">
            <v>USAA</v>
          </cell>
          <cell r="E83">
            <v>12363</v>
          </cell>
          <cell r="J83" t="str">
            <v>USA9</v>
          </cell>
          <cell r="K83">
            <v>567</v>
          </cell>
          <cell r="P83" t="str">
            <v>USA9</v>
          </cell>
          <cell r="Q83">
            <v>5196</v>
          </cell>
        </row>
        <row r="84">
          <cell r="D84" t="str">
            <v>USB1</v>
          </cell>
          <cell r="E84">
            <v>1582</v>
          </cell>
          <cell r="J84" t="str">
            <v>USAA</v>
          </cell>
          <cell r="K84">
            <v>2743</v>
          </cell>
          <cell r="P84" t="str">
            <v>USAA</v>
          </cell>
          <cell r="Q84">
            <v>14528</v>
          </cell>
        </row>
        <row r="85">
          <cell r="D85" t="str">
            <v>USB5</v>
          </cell>
          <cell r="E85">
            <v>1164</v>
          </cell>
          <cell r="J85" t="str">
            <v>USB1</v>
          </cell>
          <cell r="K85">
            <v>423</v>
          </cell>
          <cell r="P85" t="str">
            <v>USB1</v>
          </cell>
          <cell r="Q85">
            <v>4080</v>
          </cell>
        </row>
        <row r="86">
          <cell r="D86" t="str">
            <v>USB6</v>
          </cell>
          <cell r="E86">
            <v>4985</v>
          </cell>
          <cell r="J86" t="str">
            <v>USB5</v>
          </cell>
          <cell r="K86">
            <v>315</v>
          </cell>
          <cell r="P86" t="str">
            <v>USB5</v>
          </cell>
          <cell r="Q86">
            <v>8448</v>
          </cell>
        </row>
        <row r="87">
          <cell r="D87" t="str">
            <v>USB7</v>
          </cell>
          <cell r="E87">
            <v>2104</v>
          </cell>
          <cell r="J87" t="str">
            <v>USB6</v>
          </cell>
          <cell r="K87">
            <v>912</v>
          </cell>
          <cell r="P87" t="str">
            <v>USB6</v>
          </cell>
          <cell r="Q87">
            <v>3672</v>
          </cell>
        </row>
        <row r="88">
          <cell r="D88" t="str">
            <v>USB8</v>
          </cell>
          <cell r="E88">
            <v>4625</v>
          </cell>
          <cell r="J88" t="str">
            <v>USB7</v>
          </cell>
          <cell r="K88">
            <v>525</v>
          </cell>
          <cell r="P88" t="str">
            <v>USB7</v>
          </cell>
          <cell r="Q88">
            <v>5316</v>
          </cell>
        </row>
        <row r="89">
          <cell r="D89" t="str">
            <v>USC8</v>
          </cell>
          <cell r="E89">
            <v>3192</v>
          </cell>
          <cell r="J89" t="str">
            <v>USB8</v>
          </cell>
          <cell r="K89">
            <v>577</v>
          </cell>
          <cell r="P89" t="str">
            <v>USB8</v>
          </cell>
          <cell r="Q89">
            <v>4161</v>
          </cell>
        </row>
        <row r="90">
          <cell r="D90" t="str">
            <v>USD6</v>
          </cell>
          <cell r="E90">
            <v>1383</v>
          </cell>
          <cell r="J90" t="str">
            <v>USC8</v>
          </cell>
          <cell r="K90">
            <v>532</v>
          </cell>
          <cell r="P90" t="str">
            <v>USC8</v>
          </cell>
          <cell r="Q90">
            <v>5468</v>
          </cell>
        </row>
        <row r="91">
          <cell r="D91" t="str">
            <v>USD7</v>
          </cell>
          <cell r="E91">
            <v>3246</v>
          </cell>
          <cell r="J91" t="str">
            <v>USD6</v>
          </cell>
          <cell r="K91">
            <v>343</v>
          </cell>
          <cell r="P91" t="str">
            <v>USD6</v>
          </cell>
          <cell r="Q91">
            <v>3801</v>
          </cell>
        </row>
        <row r="92">
          <cell r="D92" t="str">
            <v>USF6</v>
          </cell>
          <cell r="E92">
            <v>1583</v>
          </cell>
          <cell r="J92" t="str">
            <v>USD7</v>
          </cell>
          <cell r="K92">
            <v>680</v>
          </cell>
          <cell r="P92" t="str">
            <v>USD7</v>
          </cell>
          <cell r="Q92">
            <v>4309</v>
          </cell>
        </row>
        <row r="93">
          <cell r="D93" t="str">
            <v>Grand Total</v>
          </cell>
          <cell r="E93">
            <v>252081</v>
          </cell>
          <cell r="J93" t="str">
            <v>USF6</v>
          </cell>
          <cell r="K93">
            <v>480</v>
          </cell>
          <cell r="P93" t="str">
            <v>USF6</v>
          </cell>
          <cell r="Q93">
            <v>4872</v>
          </cell>
        </row>
        <row r="94">
          <cell r="J94" t="str">
            <v>Grand Total</v>
          </cell>
          <cell r="K94">
            <v>51714</v>
          </cell>
          <cell r="P94" t="str">
            <v>Grand Total</v>
          </cell>
          <cell r="Q94">
            <v>406165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4.门店业绩"/>
      <sheetName val="Sheet2"/>
      <sheetName val="1-明细数据-ZFI022-销售明细表"/>
      <sheetName val="FOOD"/>
      <sheetName val="BEVE"/>
      <sheetName val="Sheet9"/>
      <sheetName val="PLUSH"/>
      <sheetName val="PILLOW"/>
      <sheetName val="BB"/>
    </sheetNames>
    <sheetDataSet>
      <sheetData sheetId="0">
        <row r="2">
          <cell r="E2" t="str">
            <v>US01</v>
          </cell>
          <cell r="F2">
            <v>85642.360000003726</v>
          </cell>
          <cell r="G2">
            <v>12100</v>
          </cell>
          <cell r="H2">
            <v>3059</v>
          </cell>
          <cell r="I2">
            <v>433</v>
          </cell>
        </row>
        <row r="3">
          <cell r="E3" t="str">
            <v>US03</v>
          </cell>
          <cell r="F3">
            <v>56045.079999999471</v>
          </cell>
          <cell r="G3">
            <v>8980</v>
          </cell>
          <cell r="H3">
            <v>2002</v>
          </cell>
          <cell r="I3">
            <v>321</v>
          </cell>
        </row>
        <row r="4">
          <cell r="E4" t="str">
            <v>US05</v>
          </cell>
          <cell r="F4">
            <v>166697.91000000338</v>
          </cell>
          <cell r="G4">
            <v>24224</v>
          </cell>
          <cell r="H4">
            <v>5954</v>
          </cell>
          <cell r="I4">
            <v>866</v>
          </cell>
        </row>
        <row r="5">
          <cell r="E5" t="str">
            <v>US08</v>
          </cell>
          <cell r="F5">
            <v>57270.719999999383</v>
          </cell>
          <cell r="G5">
            <v>7736</v>
          </cell>
          <cell r="H5">
            <v>2046</v>
          </cell>
          <cell r="I5">
            <v>277</v>
          </cell>
        </row>
        <row r="6">
          <cell r="E6" t="str">
            <v>US09</v>
          </cell>
          <cell r="F6">
            <v>55632.699999999684</v>
          </cell>
          <cell r="G6">
            <v>8475</v>
          </cell>
          <cell r="H6">
            <v>1987</v>
          </cell>
          <cell r="I6">
            <v>303</v>
          </cell>
        </row>
        <row r="7">
          <cell r="E7" t="str">
            <v>US10</v>
          </cell>
          <cell r="F7">
            <v>146049.80000000849</v>
          </cell>
          <cell r="G7">
            <v>21954</v>
          </cell>
          <cell r="H7">
            <v>5217</v>
          </cell>
          <cell r="I7">
            <v>785</v>
          </cell>
        </row>
        <row r="8">
          <cell r="E8" t="str">
            <v>US11</v>
          </cell>
          <cell r="F8">
            <v>90071.010000003516</v>
          </cell>
          <cell r="G8">
            <v>13539</v>
          </cell>
          <cell r="H8">
            <v>3217</v>
          </cell>
          <cell r="I8">
            <v>484</v>
          </cell>
        </row>
        <row r="9">
          <cell r="E9" t="str">
            <v>US13</v>
          </cell>
          <cell r="F9">
            <v>176995.87000000081</v>
          </cell>
          <cell r="G9">
            <v>27071</v>
          </cell>
          <cell r="H9">
            <v>6322</v>
          </cell>
          <cell r="I9">
            <v>967</v>
          </cell>
        </row>
        <row r="10">
          <cell r="E10" t="str">
            <v>US15</v>
          </cell>
          <cell r="F10">
            <v>185902.32999999763</v>
          </cell>
          <cell r="G10">
            <v>27278</v>
          </cell>
          <cell r="H10">
            <v>6640</v>
          </cell>
          <cell r="I10">
            <v>975</v>
          </cell>
        </row>
        <row r="11">
          <cell r="E11" t="str">
            <v>US16</v>
          </cell>
          <cell r="F11">
            <v>106068.85000000741</v>
          </cell>
          <cell r="G11">
            <v>15117</v>
          </cell>
          <cell r="H11">
            <v>3789</v>
          </cell>
          <cell r="I11">
            <v>540</v>
          </cell>
        </row>
        <row r="12">
          <cell r="E12" t="str">
            <v>US17</v>
          </cell>
          <cell r="F12">
            <v>72542.370000000752</v>
          </cell>
          <cell r="G12">
            <v>11039</v>
          </cell>
          <cell r="H12">
            <v>2591</v>
          </cell>
          <cell r="I12">
            <v>395</v>
          </cell>
        </row>
        <row r="13">
          <cell r="E13" t="str">
            <v>US18</v>
          </cell>
          <cell r="F13">
            <v>53704.809999999394</v>
          </cell>
          <cell r="G13">
            <v>8997</v>
          </cell>
          <cell r="H13">
            <v>1919</v>
          </cell>
          <cell r="I13">
            <v>322</v>
          </cell>
        </row>
        <row r="14">
          <cell r="E14" t="str">
            <v>US19</v>
          </cell>
          <cell r="F14">
            <v>314653.79999996437</v>
          </cell>
          <cell r="G14">
            <v>45564</v>
          </cell>
          <cell r="H14">
            <v>11238</v>
          </cell>
          <cell r="I14">
            <v>1628</v>
          </cell>
        </row>
        <row r="15">
          <cell r="E15" t="str">
            <v>US20</v>
          </cell>
          <cell r="F15">
            <v>217837.01999999347</v>
          </cell>
          <cell r="G15">
            <v>31412</v>
          </cell>
          <cell r="H15">
            <v>7780</v>
          </cell>
          <cell r="I15">
            <v>1122</v>
          </cell>
        </row>
        <row r="16">
          <cell r="E16" t="str">
            <v>US21</v>
          </cell>
          <cell r="F16">
            <v>147362.8600000077</v>
          </cell>
          <cell r="G16">
            <v>20018</v>
          </cell>
          <cell r="H16">
            <v>5263</v>
          </cell>
          <cell r="I16">
            <v>715</v>
          </cell>
        </row>
        <row r="17">
          <cell r="E17" t="str">
            <v>US22</v>
          </cell>
          <cell r="F17">
            <v>99027.730000006457</v>
          </cell>
          <cell r="G17">
            <v>14339</v>
          </cell>
          <cell r="H17">
            <v>3537</v>
          </cell>
          <cell r="I17">
            <v>513</v>
          </cell>
        </row>
        <row r="18">
          <cell r="E18" t="str">
            <v>US23</v>
          </cell>
          <cell r="F18">
            <v>102986.09000000823</v>
          </cell>
          <cell r="G18">
            <v>15713</v>
          </cell>
          <cell r="H18">
            <v>3679</v>
          </cell>
          <cell r="I18">
            <v>562</v>
          </cell>
        </row>
        <row r="19">
          <cell r="E19" t="str">
            <v>US24</v>
          </cell>
          <cell r="F19">
            <v>55508.989999999758</v>
          </cell>
          <cell r="G19">
            <v>8179</v>
          </cell>
          <cell r="H19">
            <v>1983</v>
          </cell>
          <cell r="I19">
            <v>293</v>
          </cell>
        </row>
        <row r="20">
          <cell r="E20" t="str">
            <v>US25</v>
          </cell>
          <cell r="F20">
            <v>72741.670000000842</v>
          </cell>
          <cell r="G20">
            <v>11307</v>
          </cell>
          <cell r="H20">
            <v>2598</v>
          </cell>
          <cell r="I20">
            <v>404</v>
          </cell>
        </row>
        <row r="21">
          <cell r="E21" t="str">
            <v>US26</v>
          </cell>
          <cell r="F21">
            <v>87747.420000003083</v>
          </cell>
          <cell r="G21">
            <v>14448</v>
          </cell>
          <cell r="H21">
            <v>3134</v>
          </cell>
          <cell r="I21">
            <v>516</v>
          </cell>
        </row>
        <row r="22">
          <cell r="E22" t="str">
            <v>US27</v>
          </cell>
          <cell r="F22">
            <v>57041.609999999375</v>
          </cell>
          <cell r="G22">
            <v>8818</v>
          </cell>
          <cell r="H22">
            <v>2038</v>
          </cell>
          <cell r="I22">
            <v>315</v>
          </cell>
        </row>
        <row r="23">
          <cell r="E23" t="str">
            <v>US28</v>
          </cell>
          <cell r="F23">
            <v>55106.539999999295</v>
          </cell>
          <cell r="G23">
            <v>8758</v>
          </cell>
          <cell r="H23">
            <v>1969</v>
          </cell>
          <cell r="I23">
            <v>313</v>
          </cell>
        </row>
        <row r="24">
          <cell r="E24" t="str">
            <v>US29</v>
          </cell>
          <cell r="F24">
            <v>82428.180000003296</v>
          </cell>
          <cell r="G24">
            <v>12411</v>
          </cell>
          <cell r="H24">
            <v>2944</v>
          </cell>
          <cell r="I24">
            <v>444</v>
          </cell>
        </row>
        <row r="25">
          <cell r="E25" t="str">
            <v>US30</v>
          </cell>
          <cell r="F25">
            <v>72734.210000000516</v>
          </cell>
          <cell r="G25">
            <v>11568</v>
          </cell>
          <cell r="H25">
            <v>2598</v>
          </cell>
          <cell r="I25">
            <v>414</v>
          </cell>
        </row>
        <row r="26">
          <cell r="E26" t="str">
            <v>US34</v>
          </cell>
          <cell r="F26">
            <v>47117.199999999808</v>
          </cell>
          <cell r="G26">
            <v>6922</v>
          </cell>
          <cell r="H26">
            <v>1683</v>
          </cell>
          <cell r="I26">
            <v>248</v>
          </cell>
        </row>
        <row r="27">
          <cell r="E27" t="str">
            <v>US35</v>
          </cell>
          <cell r="F27">
            <v>84599.580000003509</v>
          </cell>
          <cell r="G27">
            <v>11159</v>
          </cell>
          <cell r="H27">
            <v>3022</v>
          </cell>
          <cell r="I27">
            <v>399</v>
          </cell>
        </row>
        <row r="28">
          <cell r="E28" t="str">
            <v>US38</v>
          </cell>
          <cell r="F28">
            <v>270185.29999998619</v>
          </cell>
          <cell r="G28">
            <v>40376</v>
          </cell>
          <cell r="H28">
            <v>9650</v>
          </cell>
          <cell r="I28">
            <v>1442</v>
          </cell>
        </row>
        <row r="29">
          <cell r="E29" t="str">
            <v>US39</v>
          </cell>
          <cell r="F29">
            <v>70719.949999999575</v>
          </cell>
          <cell r="G29">
            <v>10517</v>
          </cell>
          <cell r="H29">
            <v>2526</v>
          </cell>
          <cell r="I29">
            <v>376</v>
          </cell>
        </row>
        <row r="30">
          <cell r="E30" t="str">
            <v>US42</v>
          </cell>
          <cell r="F30">
            <v>50576.669999999634</v>
          </cell>
          <cell r="G30">
            <v>7321</v>
          </cell>
          <cell r="H30">
            <v>1807</v>
          </cell>
          <cell r="I30">
            <v>262</v>
          </cell>
        </row>
        <row r="31">
          <cell r="E31" t="str">
            <v>US43</v>
          </cell>
          <cell r="F31">
            <v>121877.74000000999</v>
          </cell>
          <cell r="G31">
            <v>16178</v>
          </cell>
          <cell r="H31">
            <v>4353</v>
          </cell>
          <cell r="I31">
            <v>578</v>
          </cell>
        </row>
        <row r="32">
          <cell r="E32" t="str">
            <v>US45</v>
          </cell>
          <cell r="F32">
            <v>64299.579999999129</v>
          </cell>
          <cell r="G32">
            <v>8602</v>
          </cell>
          <cell r="H32">
            <v>2297</v>
          </cell>
          <cell r="I32">
            <v>308</v>
          </cell>
        </row>
        <row r="33">
          <cell r="E33" t="str">
            <v>US46</v>
          </cell>
          <cell r="F33">
            <v>38417.490000000813</v>
          </cell>
          <cell r="G33">
            <v>5296</v>
          </cell>
          <cell r="H33">
            <v>1373</v>
          </cell>
          <cell r="I33">
            <v>190</v>
          </cell>
        </row>
        <row r="34">
          <cell r="E34" t="str">
            <v>US47</v>
          </cell>
          <cell r="F34">
            <v>86145.130000003061</v>
          </cell>
          <cell r="G34">
            <v>12715</v>
          </cell>
          <cell r="H34">
            <v>3077</v>
          </cell>
          <cell r="I34">
            <v>455</v>
          </cell>
        </row>
        <row r="35">
          <cell r="E35" t="str">
            <v>US48</v>
          </cell>
          <cell r="F35">
            <v>287974.35999997839</v>
          </cell>
          <cell r="G35">
            <v>42829</v>
          </cell>
          <cell r="H35">
            <v>10285</v>
          </cell>
          <cell r="I35">
            <v>1530</v>
          </cell>
        </row>
        <row r="36">
          <cell r="E36" t="str">
            <v>US49</v>
          </cell>
          <cell r="F36">
            <v>32492.630000001216</v>
          </cell>
          <cell r="G36">
            <v>4876</v>
          </cell>
          <cell r="H36">
            <v>1161</v>
          </cell>
          <cell r="I36">
            <v>175</v>
          </cell>
        </row>
        <row r="37">
          <cell r="E37" t="str">
            <v>US51</v>
          </cell>
          <cell r="F37">
            <v>120548.58000000948</v>
          </cell>
          <cell r="G37">
            <v>17561</v>
          </cell>
          <cell r="H37">
            <v>4306</v>
          </cell>
          <cell r="I37">
            <v>628</v>
          </cell>
        </row>
        <row r="38">
          <cell r="E38" t="str">
            <v>US52</v>
          </cell>
          <cell r="F38">
            <v>49270.54999999961</v>
          </cell>
          <cell r="G38">
            <v>7590</v>
          </cell>
          <cell r="H38">
            <v>1760</v>
          </cell>
          <cell r="I38">
            <v>272</v>
          </cell>
        </row>
        <row r="39">
          <cell r="E39" t="str">
            <v>US53</v>
          </cell>
          <cell r="F39">
            <v>54358.849999999649</v>
          </cell>
          <cell r="G39">
            <v>8082</v>
          </cell>
          <cell r="H39">
            <v>1942</v>
          </cell>
          <cell r="I39">
            <v>289</v>
          </cell>
        </row>
        <row r="40">
          <cell r="E40" t="str">
            <v>US54</v>
          </cell>
          <cell r="F40">
            <v>44655.700000000237</v>
          </cell>
          <cell r="G40">
            <v>6303</v>
          </cell>
          <cell r="H40">
            <v>1595</v>
          </cell>
          <cell r="I40">
            <v>226</v>
          </cell>
        </row>
        <row r="41">
          <cell r="E41" t="str">
            <v>US55</v>
          </cell>
          <cell r="F41">
            <v>43907.160000000367</v>
          </cell>
          <cell r="G41">
            <v>6650</v>
          </cell>
          <cell r="H41">
            <v>1569</v>
          </cell>
          <cell r="I41">
            <v>238</v>
          </cell>
        </row>
        <row r="42">
          <cell r="E42" t="str">
            <v>US56</v>
          </cell>
          <cell r="F42">
            <v>103577.09000000628</v>
          </cell>
          <cell r="G42">
            <v>15105</v>
          </cell>
          <cell r="H42">
            <v>3700</v>
          </cell>
          <cell r="I42">
            <v>540</v>
          </cell>
        </row>
        <row r="43">
          <cell r="E43" t="str">
            <v>US57</v>
          </cell>
          <cell r="F43">
            <v>46455.160000000382</v>
          </cell>
          <cell r="G43">
            <v>6559</v>
          </cell>
          <cell r="H43">
            <v>1660</v>
          </cell>
          <cell r="I43">
            <v>235</v>
          </cell>
        </row>
        <row r="44">
          <cell r="E44" t="str">
            <v>US58</v>
          </cell>
          <cell r="F44">
            <v>72893.760000000344</v>
          </cell>
          <cell r="G44">
            <v>10052</v>
          </cell>
          <cell r="H44">
            <v>2604</v>
          </cell>
          <cell r="I44">
            <v>359</v>
          </cell>
        </row>
        <row r="45">
          <cell r="E45" t="str">
            <v>US59</v>
          </cell>
          <cell r="F45">
            <v>51745.109999999702</v>
          </cell>
          <cell r="G45">
            <v>7842</v>
          </cell>
          <cell r="H45">
            <v>1849</v>
          </cell>
          <cell r="I45">
            <v>281</v>
          </cell>
        </row>
        <row r="46">
          <cell r="E46" t="str">
            <v>US60</v>
          </cell>
          <cell r="F46">
            <v>74661.200000001365</v>
          </cell>
          <cell r="G46">
            <v>10695</v>
          </cell>
          <cell r="H46">
            <v>2667</v>
          </cell>
          <cell r="I46">
            <v>382</v>
          </cell>
        </row>
        <row r="47">
          <cell r="E47" t="str">
            <v>US61</v>
          </cell>
          <cell r="F47">
            <v>40601.170000000733</v>
          </cell>
          <cell r="G47">
            <v>5923</v>
          </cell>
          <cell r="H47">
            <v>1451</v>
          </cell>
          <cell r="I47">
            <v>212</v>
          </cell>
        </row>
        <row r="48">
          <cell r="E48" t="str">
            <v>US62</v>
          </cell>
          <cell r="F48">
            <v>51378.899999999812</v>
          </cell>
          <cell r="G48">
            <v>7051</v>
          </cell>
          <cell r="H48">
            <v>1835</v>
          </cell>
          <cell r="I48">
            <v>252</v>
          </cell>
        </row>
        <row r="49">
          <cell r="E49" t="str">
            <v>US63</v>
          </cell>
          <cell r="F49">
            <v>27168.600000000741</v>
          </cell>
          <cell r="G49">
            <v>3899</v>
          </cell>
          <cell r="H49">
            <v>971</v>
          </cell>
          <cell r="I49">
            <v>140</v>
          </cell>
        </row>
        <row r="50">
          <cell r="E50" t="str">
            <v>US64</v>
          </cell>
          <cell r="F50">
            <v>189871.83999999723</v>
          </cell>
          <cell r="G50">
            <v>25583</v>
          </cell>
          <cell r="H50">
            <v>6782</v>
          </cell>
          <cell r="I50">
            <v>914</v>
          </cell>
        </row>
        <row r="51">
          <cell r="E51" t="str">
            <v>US65</v>
          </cell>
          <cell r="F51">
            <v>319871.22999995021</v>
          </cell>
          <cell r="G51">
            <v>47605</v>
          </cell>
          <cell r="H51">
            <v>11424</v>
          </cell>
          <cell r="I51">
            <v>1701</v>
          </cell>
        </row>
        <row r="52">
          <cell r="E52" t="str">
            <v>US66</v>
          </cell>
          <cell r="F52">
            <v>128187.99000001066</v>
          </cell>
          <cell r="G52">
            <v>18040</v>
          </cell>
          <cell r="H52">
            <v>4579</v>
          </cell>
          <cell r="I52">
            <v>645</v>
          </cell>
        </row>
        <row r="53">
          <cell r="E53" t="str">
            <v>US67</v>
          </cell>
          <cell r="F53">
            <v>65042.279999999068</v>
          </cell>
          <cell r="G53">
            <v>9353</v>
          </cell>
          <cell r="H53">
            <v>2323</v>
          </cell>
          <cell r="I53">
            <v>335</v>
          </cell>
        </row>
        <row r="54">
          <cell r="E54" t="str">
            <v>US69</v>
          </cell>
          <cell r="F54">
            <v>106555.7100000075</v>
          </cell>
          <cell r="G54">
            <v>14502</v>
          </cell>
          <cell r="H54">
            <v>3806</v>
          </cell>
          <cell r="I54">
            <v>518</v>
          </cell>
        </row>
        <row r="55">
          <cell r="E55" t="str">
            <v>US70</v>
          </cell>
          <cell r="F55">
            <v>59817.519999999146</v>
          </cell>
          <cell r="G55">
            <v>7876</v>
          </cell>
          <cell r="H55">
            <v>2137</v>
          </cell>
          <cell r="I55">
            <v>282</v>
          </cell>
        </row>
        <row r="56">
          <cell r="E56" t="str">
            <v>US71</v>
          </cell>
          <cell r="F56">
            <v>60730.379999998971</v>
          </cell>
          <cell r="G56">
            <v>8882</v>
          </cell>
          <cell r="H56">
            <v>2169</v>
          </cell>
          <cell r="I56">
            <v>318</v>
          </cell>
        </row>
        <row r="57">
          <cell r="E57" t="str">
            <v>US72</v>
          </cell>
          <cell r="F57">
            <v>74649.80000000108</v>
          </cell>
          <cell r="G57">
            <v>9807</v>
          </cell>
          <cell r="H57">
            <v>2667</v>
          </cell>
          <cell r="I57">
            <v>351</v>
          </cell>
        </row>
        <row r="58">
          <cell r="E58" t="str">
            <v>US73</v>
          </cell>
          <cell r="F58">
            <v>59718.519999999073</v>
          </cell>
          <cell r="G58">
            <v>8500</v>
          </cell>
          <cell r="H58">
            <v>2133</v>
          </cell>
          <cell r="I58">
            <v>304</v>
          </cell>
        </row>
        <row r="59">
          <cell r="E59" t="str">
            <v>US74</v>
          </cell>
          <cell r="F59">
            <v>161810.89000000319</v>
          </cell>
          <cell r="G59">
            <v>22427</v>
          </cell>
          <cell r="H59">
            <v>5779</v>
          </cell>
          <cell r="I59">
            <v>801</v>
          </cell>
        </row>
        <row r="60">
          <cell r="E60" t="str">
            <v>US75</v>
          </cell>
          <cell r="F60">
            <v>75831.840000001248</v>
          </cell>
          <cell r="G60">
            <v>10459</v>
          </cell>
          <cell r="H60">
            <v>2709</v>
          </cell>
          <cell r="I60">
            <v>374</v>
          </cell>
        </row>
        <row r="61">
          <cell r="E61" t="str">
            <v>US76</v>
          </cell>
          <cell r="F61">
            <v>98888.120000004783</v>
          </cell>
          <cell r="G61">
            <v>13955</v>
          </cell>
          <cell r="H61">
            <v>3532</v>
          </cell>
          <cell r="I61">
            <v>499</v>
          </cell>
        </row>
        <row r="62">
          <cell r="E62" t="str">
            <v>US77</v>
          </cell>
          <cell r="F62">
            <v>122239.75000001056</v>
          </cell>
          <cell r="G62">
            <v>17858</v>
          </cell>
          <cell r="H62">
            <v>4366</v>
          </cell>
          <cell r="I62">
            <v>638</v>
          </cell>
        </row>
        <row r="63">
          <cell r="E63" t="str">
            <v>US78</v>
          </cell>
          <cell r="F63">
            <v>89021.330000002461</v>
          </cell>
          <cell r="G63">
            <v>12783</v>
          </cell>
          <cell r="H63">
            <v>3180</v>
          </cell>
          <cell r="I63">
            <v>457</v>
          </cell>
        </row>
        <row r="64">
          <cell r="E64" t="str">
            <v>US79</v>
          </cell>
          <cell r="F64">
            <v>114409.97000000441</v>
          </cell>
          <cell r="G64">
            <v>13915</v>
          </cell>
          <cell r="H64">
            <v>4087</v>
          </cell>
          <cell r="I64">
            <v>497</v>
          </cell>
        </row>
        <row r="65">
          <cell r="E65" t="str">
            <v>US80</v>
          </cell>
          <cell r="F65">
            <v>172178.14000000199</v>
          </cell>
          <cell r="G65">
            <v>23650</v>
          </cell>
          <cell r="H65">
            <v>6150</v>
          </cell>
          <cell r="I65">
            <v>845</v>
          </cell>
        </row>
        <row r="66">
          <cell r="E66" t="str">
            <v>US81</v>
          </cell>
          <cell r="F66">
            <v>59519.539999998997</v>
          </cell>
          <cell r="G66">
            <v>7991</v>
          </cell>
          <cell r="H66">
            <v>2126</v>
          </cell>
          <cell r="I66">
            <v>286</v>
          </cell>
        </row>
        <row r="67">
          <cell r="E67" t="str">
            <v>US82</v>
          </cell>
          <cell r="F67">
            <v>83644.840000003489</v>
          </cell>
          <cell r="G67">
            <v>11827</v>
          </cell>
          <cell r="H67">
            <v>2988</v>
          </cell>
          <cell r="I67">
            <v>423</v>
          </cell>
        </row>
        <row r="68">
          <cell r="E68" t="str">
            <v>US83</v>
          </cell>
          <cell r="F68">
            <v>96323.60000000686</v>
          </cell>
          <cell r="G68">
            <v>13683</v>
          </cell>
          <cell r="H68">
            <v>3441</v>
          </cell>
          <cell r="I68">
            <v>489</v>
          </cell>
        </row>
        <row r="69">
          <cell r="E69" t="str">
            <v>US84</v>
          </cell>
          <cell r="F69">
            <v>46335.670000000093</v>
          </cell>
          <cell r="G69">
            <v>6722</v>
          </cell>
          <cell r="H69">
            <v>1655</v>
          </cell>
          <cell r="I69">
            <v>241</v>
          </cell>
        </row>
        <row r="70">
          <cell r="E70" t="str">
            <v>US85</v>
          </cell>
          <cell r="F70">
            <v>68728.739999999729</v>
          </cell>
          <cell r="G70">
            <v>8822</v>
          </cell>
          <cell r="H70">
            <v>2455</v>
          </cell>
          <cell r="I70">
            <v>316</v>
          </cell>
        </row>
        <row r="71">
          <cell r="E71" t="str">
            <v>US86</v>
          </cell>
          <cell r="F71">
            <v>59860.439999999173</v>
          </cell>
          <cell r="G71">
            <v>8421</v>
          </cell>
          <cell r="H71">
            <v>2138</v>
          </cell>
          <cell r="I71">
            <v>301</v>
          </cell>
        </row>
        <row r="72">
          <cell r="E72" t="str">
            <v>US88</v>
          </cell>
          <cell r="F72">
            <v>106628.99000000572</v>
          </cell>
          <cell r="G72">
            <v>12918</v>
          </cell>
          <cell r="H72">
            <v>3809</v>
          </cell>
          <cell r="I72">
            <v>462</v>
          </cell>
        </row>
        <row r="73">
          <cell r="E73" t="str">
            <v>US89</v>
          </cell>
          <cell r="F73">
            <v>78156.7200000015</v>
          </cell>
          <cell r="G73">
            <v>9425</v>
          </cell>
          <cell r="H73">
            <v>2792</v>
          </cell>
          <cell r="I73">
            <v>337</v>
          </cell>
        </row>
        <row r="74">
          <cell r="E74" t="str">
            <v>US90</v>
          </cell>
          <cell r="F74">
            <v>27506.990000000893</v>
          </cell>
          <cell r="G74">
            <v>3653</v>
          </cell>
          <cell r="H74">
            <v>983</v>
          </cell>
          <cell r="I74">
            <v>131</v>
          </cell>
        </row>
        <row r="75">
          <cell r="E75" t="str">
            <v>US94</v>
          </cell>
          <cell r="F75">
            <v>166944.13000000178</v>
          </cell>
          <cell r="G75">
            <v>26022</v>
          </cell>
          <cell r="H75">
            <v>5963</v>
          </cell>
          <cell r="I75">
            <v>930</v>
          </cell>
        </row>
        <row r="76">
          <cell r="E76" t="str">
            <v>US95</v>
          </cell>
          <cell r="F76">
            <v>85679.090000003605</v>
          </cell>
          <cell r="G76">
            <v>12794</v>
          </cell>
          <cell r="H76">
            <v>3060</v>
          </cell>
          <cell r="I76">
            <v>457</v>
          </cell>
        </row>
        <row r="77">
          <cell r="E77" t="str">
            <v>US96</v>
          </cell>
          <cell r="F77">
            <v>168053.68000000372</v>
          </cell>
          <cell r="G77">
            <v>22658</v>
          </cell>
          <cell r="H77">
            <v>6002</v>
          </cell>
          <cell r="I77">
            <v>810</v>
          </cell>
        </row>
        <row r="78">
          <cell r="E78" t="str">
            <v>US97</v>
          </cell>
          <cell r="F78">
            <v>144837.2100000082</v>
          </cell>
          <cell r="G78">
            <v>20261</v>
          </cell>
          <cell r="H78">
            <v>5173</v>
          </cell>
          <cell r="I78">
            <v>724</v>
          </cell>
        </row>
        <row r="79">
          <cell r="E79" t="str">
            <v>US98</v>
          </cell>
          <cell r="F79">
            <v>195523.979999998</v>
          </cell>
          <cell r="G79">
            <v>28551</v>
          </cell>
          <cell r="H79">
            <v>6983</v>
          </cell>
          <cell r="I79">
            <v>1020</v>
          </cell>
        </row>
        <row r="80">
          <cell r="E80" t="str">
            <v>US99</v>
          </cell>
          <cell r="F80">
            <v>62037.819999999025</v>
          </cell>
          <cell r="G80">
            <v>9349</v>
          </cell>
          <cell r="H80">
            <v>2216</v>
          </cell>
          <cell r="I80">
            <v>334</v>
          </cell>
        </row>
        <row r="81">
          <cell r="E81" t="str">
            <v>USA1</v>
          </cell>
          <cell r="F81">
            <v>72594.070000000676</v>
          </cell>
          <cell r="G81">
            <v>10539</v>
          </cell>
          <cell r="H81">
            <v>2593</v>
          </cell>
          <cell r="I81">
            <v>377</v>
          </cell>
        </row>
        <row r="82">
          <cell r="E82" t="str">
            <v>USA2</v>
          </cell>
          <cell r="F82">
            <v>164075.30000000316</v>
          </cell>
          <cell r="G82">
            <v>23431</v>
          </cell>
          <cell r="H82">
            <v>5860</v>
          </cell>
          <cell r="I82">
            <v>837</v>
          </cell>
        </row>
        <row r="83">
          <cell r="E83" t="str">
            <v>USA3</v>
          </cell>
          <cell r="F83">
            <v>39602.770000000724</v>
          </cell>
          <cell r="G83">
            <v>5000</v>
          </cell>
          <cell r="H83">
            <v>1415</v>
          </cell>
          <cell r="I83">
            <v>179</v>
          </cell>
        </row>
        <row r="84">
          <cell r="E84" t="str">
            <v>USA4</v>
          </cell>
          <cell r="F84">
            <v>193481.20999999953</v>
          </cell>
          <cell r="G84">
            <v>26496</v>
          </cell>
          <cell r="H84">
            <v>6911</v>
          </cell>
          <cell r="I84">
            <v>947</v>
          </cell>
        </row>
        <row r="85">
          <cell r="E85" t="str">
            <v>USA5</v>
          </cell>
          <cell r="F85">
            <v>127318.27000000692</v>
          </cell>
          <cell r="G85">
            <v>17594</v>
          </cell>
          <cell r="H85">
            <v>4548</v>
          </cell>
          <cell r="I85">
            <v>629</v>
          </cell>
        </row>
        <row r="86">
          <cell r="E86" t="str">
            <v>USA7</v>
          </cell>
          <cell r="F86">
            <v>79659.530000002807</v>
          </cell>
          <cell r="G86">
            <v>11575</v>
          </cell>
          <cell r="H86">
            <v>2845</v>
          </cell>
          <cell r="I86">
            <v>414</v>
          </cell>
        </row>
        <row r="87">
          <cell r="E87" t="str">
            <v>USA8</v>
          </cell>
          <cell r="F87">
            <v>63919.709999998653</v>
          </cell>
          <cell r="G87">
            <v>9167</v>
          </cell>
          <cell r="H87">
            <v>2283</v>
          </cell>
          <cell r="I87">
            <v>328</v>
          </cell>
        </row>
        <row r="88">
          <cell r="E88" t="str">
            <v>USA9</v>
          </cell>
          <cell r="F88">
            <v>60923.229999999727</v>
          </cell>
          <cell r="G88">
            <v>7984</v>
          </cell>
          <cell r="H88">
            <v>2176</v>
          </cell>
          <cell r="I88">
            <v>286</v>
          </cell>
        </row>
        <row r="89">
          <cell r="E89" t="str">
            <v>USAA</v>
          </cell>
          <cell r="F89">
            <v>641641.59999982663</v>
          </cell>
          <cell r="G89">
            <v>90381</v>
          </cell>
          <cell r="H89">
            <v>22916</v>
          </cell>
          <cell r="I89">
            <v>3228</v>
          </cell>
        </row>
        <row r="90">
          <cell r="E90" t="str">
            <v>USB6</v>
          </cell>
          <cell r="F90">
            <v>-11.110000000000001</v>
          </cell>
          <cell r="G90">
            <v>-4</v>
          </cell>
          <cell r="H90">
            <v>-1</v>
          </cell>
          <cell r="I90">
            <v>-1</v>
          </cell>
        </row>
        <row r="91">
          <cell r="E91" t="str">
            <v>USB8</v>
          </cell>
          <cell r="F91">
            <v>170393.61000000231</v>
          </cell>
          <cell r="G91">
            <v>24453</v>
          </cell>
          <cell r="H91">
            <v>6086</v>
          </cell>
          <cell r="I91">
            <v>874</v>
          </cell>
        </row>
        <row r="92">
          <cell r="E92" t="str">
            <v>USC8</v>
          </cell>
          <cell r="F92">
            <v>49582.840000000215</v>
          </cell>
          <cell r="G92">
            <v>7651</v>
          </cell>
          <cell r="H92">
            <v>3306</v>
          </cell>
          <cell r="I92">
            <v>511</v>
          </cell>
        </row>
        <row r="93">
          <cell r="E93" t="str">
            <v>USD6</v>
          </cell>
          <cell r="F93">
            <v>87641.830000001777</v>
          </cell>
          <cell r="G93">
            <v>11789</v>
          </cell>
          <cell r="H93">
            <v>10956</v>
          </cell>
          <cell r="I93">
            <v>1474</v>
          </cell>
        </row>
        <row r="94">
          <cell r="E94" t="str">
            <v>USD7</v>
          </cell>
          <cell r="F94">
            <v>109030.82000000773</v>
          </cell>
          <cell r="G94">
            <v>15794</v>
          </cell>
          <cell r="H94">
            <v>3894</v>
          </cell>
          <cell r="I94">
            <v>565</v>
          </cell>
        </row>
        <row r="95">
          <cell r="E95" t="str">
            <v>USMS</v>
          </cell>
          <cell r="F95">
            <v>214.88</v>
          </cell>
          <cell r="G95">
            <v>12</v>
          </cell>
          <cell r="H95">
            <v>8</v>
          </cell>
          <cell r="I95">
            <v>1</v>
          </cell>
        </row>
        <row r="96">
          <cell r="E96" t="str">
            <v>Grand Total</v>
          </cell>
          <cell r="F96">
            <v>9762102.6999998856</v>
          </cell>
          <cell r="G96">
            <v>1399302</v>
          </cell>
          <cell r="H96">
            <v>348647</v>
          </cell>
          <cell r="I96">
            <v>49976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 t="str">
            <v>US01</v>
          </cell>
          <cell r="E2">
            <v>688</v>
          </cell>
          <cell r="F2">
            <v>172</v>
          </cell>
        </row>
        <row r="3">
          <cell r="D3" t="str">
            <v>US03</v>
          </cell>
          <cell r="E3">
            <v>500</v>
          </cell>
          <cell r="F3">
            <v>125</v>
          </cell>
          <cell r="J3" t="str">
            <v>US01</v>
          </cell>
          <cell r="K3">
            <v>152</v>
          </cell>
          <cell r="L3">
            <v>38</v>
          </cell>
          <cell r="P3" t="str">
            <v>US01</v>
          </cell>
          <cell r="Q3">
            <v>692</v>
          </cell>
          <cell r="R3">
            <v>173</v>
          </cell>
        </row>
        <row r="4">
          <cell r="D4" t="str">
            <v>US05</v>
          </cell>
          <cell r="E4">
            <v>1055</v>
          </cell>
          <cell r="F4">
            <v>264</v>
          </cell>
          <cell r="J4" t="str">
            <v>US03</v>
          </cell>
          <cell r="K4">
            <v>137</v>
          </cell>
          <cell r="L4">
            <v>34</v>
          </cell>
          <cell r="P4" t="str">
            <v>US03</v>
          </cell>
          <cell r="Q4">
            <v>565</v>
          </cell>
          <cell r="R4">
            <v>141</v>
          </cell>
        </row>
        <row r="5">
          <cell r="D5" t="str">
            <v>US08</v>
          </cell>
          <cell r="E5">
            <v>581</v>
          </cell>
          <cell r="F5">
            <v>145</v>
          </cell>
          <cell r="J5" t="str">
            <v>US05</v>
          </cell>
          <cell r="K5">
            <v>329</v>
          </cell>
          <cell r="L5">
            <v>82</v>
          </cell>
          <cell r="P5" t="str">
            <v>US05</v>
          </cell>
          <cell r="Q5">
            <v>1451</v>
          </cell>
          <cell r="R5">
            <v>363</v>
          </cell>
        </row>
        <row r="6">
          <cell r="D6" t="str">
            <v>US09</v>
          </cell>
          <cell r="E6">
            <v>476</v>
          </cell>
          <cell r="F6">
            <v>119</v>
          </cell>
          <cell r="J6" t="str">
            <v>US08</v>
          </cell>
          <cell r="K6">
            <v>105</v>
          </cell>
          <cell r="L6">
            <v>26</v>
          </cell>
          <cell r="P6" t="str">
            <v>US08</v>
          </cell>
          <cell r="Q6">
            <v>622</v>
          </cell>
          <cell r="R6">
            <v>156</v>
          </cell>
        </row>
        <row r="7">
          <cell r="D7" t="str">
            <v>US10</v>
          </cell>
          <cell r="E7">
            <v>907</v>
          </cell>
          <cell r="F7">
            <v>227</v>
          </cell>
          <cell r="J7" t="str">
            <v>US09</v>
          </cell>
          <cell r="K7">
            <v>162</v>
          </cell>
          <cell r="L7">
            <v>41</v>
          </cell>
          <cell r="P7" t="str">
            <v>US09</v>
          </cell>
          <cell r="Q7">
            <v>609</v>
          </cell>
          <cell r="R7">
            <v>152</v>
          </cell>
        </row>
        <row r="8">
          <cell r="D8" t="str">
            <v>US11</v>
          </cell>
          <cell r="E8">
            <v>955</v>
          </cell>
          <cell r="F8">
            <v>239</v>
          </cell>
          <cell r="J8" t="str">
            <v>US10</v>
          </cell>
          <cell r="K8">
            <v>420</v>
          </cell>
          <cell r="L8">
            <v>105</v>
          </cell>
          <cell r="P8" t="str">
            <v>US10</v>
          </cell>
          <cell r="Q8">
            <v>1099</v>
          </cell>
          <cell r="R8">
            <v>275</v>
          </cell>
        </row>
        <row r="9">
          <cell r="D9" t="str">
            <v>US13</v>
          </cell>
          <cell r="E9">
            <v>1222</v>
          </cell>
          <cell r="F9">
            <v>306</v>
          </cell>
          <cell r="J9" t="str">
            <v>US11</v>
          </cell>
          <cell r="K9">
            <v>233</v>
          </cell>
          <cell r="L9">
            <v>58</v>
          </cell>
          <cell r="P9" t="str">
            <v>US11</v>
          </cell>
          <cell r="Q9">
            <v>840</v>
          </cell>
          <cell r="R9">
            <v>210</v>
          </cell>
        </row>
        <row r="10">
          <cell r="D10" t="str">
            <v>US15</v>
          </cell>
          <cell r="E10">
            <v>1325</v>
          </cell>
          <cell r="F10">
            <v>331</v>
          </cell>
          <cell r="J10" t="str">
            <v>US13</v>
          </cell>
          <cell r="K10">
            <v>248</v>
          </cell>
          <cell r="L10">
            <v>62</v>
          </cell>
          <cell r="P10" t="str">
            <v>US13</v>
          </cell>
          <cell r="Q10">
            <v>1612</v>
          </cell>
          <cell r="R10">
            <v>403</v>
          </cell>
        </row>
        <row r="11">
          <cell r="D11" t="str">
            <v>US16</v>
          </cell>
          <cell r="E11">
            <v>770</v>
          </cell>
          <cell r="F11">
            <v>193</v>
          </cell>
          <cell r="J11" t="str">
            <v>US15</v>
          </cell>
          <cell r="K11">
            <v>484</v>
          </cell>
          <cell r="L11">
            <v>121</v>
          </cell>
          <cell r="P11" t="str">
            <v>US15</v>
          </cell>
          <cell r="Q11">
            <v>1222</v>
          </cell>
          <cell r="R11">
            <v>306</v>
          </cell>
        </row>
        <row r="12">
          <cell r="D12" t="str">
            <v>US17</v>
          </cell>
          <cell r="E12">
            <v>638</v>
          </cell>
          <cell r="F12">
            <v>160</v>
          </cell>
          <cell r="J12" t="str">
            <v>US16</v>
          </cell>
          <cell r="K12">
            <v>213</v>
          </cell>
          <cell r="L12">
            <v>53</v>
          </cell>
          <cell r="P12" t="str">
            <v>US16</v>
          </cell>
          <cell r="Q12">
            <v>1100</v>
          </cell>
          <cell r="R12">
            <v>275</v>
          </cell>
        </row>
        <row r="13">
          <cell r="D13" t="str">
            <v>US18</v>
          </cell>
          <cell r="E13">
            <v>514</v>
          </cell>
          <cell r="F13">
            <v>129</v>
          </cell>
          <cell r="J13" t="str">
            <v>US17</v>
          </cell>
          <cell r="K13">
            <v>151</v>
          </cell>
          <cell r="L13">
            <v>38</v>
          </cell>
          <cell r="P13" t="str">
            <v>US17</v>
          </cell>
          <cell r="Q13">
            <v>631</v>
          </cell>
          <cell r="R13">
            <v>158</v>
          </cell>
        </row>
        <row r="14">
          <cell r="D14" t="str">
            <v>US19</v>
          </cell>
          <cell r="E14">
            <v>2404</v>
          </cell>
          <cell r="F14">
            <v>601</v>
          </cell>
          <cell r="J14" t="str">
            <v>US18</v>
          </cell>
          <cell r="K14">
            <v>106</v>
          </cell>
          <cell r="L14">
            <v>27</v>
          </cell>
          <cell r="P14" t="str">
            <v>US18</v>
          </cell>
          <cell r="Q14">
            <v>580</v>
          </cell>
          <cell r="R14">
            <v>145</v>
          </cell>
        </row>
        <row r="15">
          <cell r="D15" t="str">
            <v>US20</v>
          </cell>
          <cell r="E15">
            <v>1631</v>
          </cell>
          <cell r="F15">
            <v>408</v>
          </cell>
          <cell r="J15" t="str">
            <v>US19</v>
          </cell>
          <cell r="K15">
            <v>482</v>
          </cell>
          <cell r="L15">
            <v>121</v>
          </cell>
          <cell r="P15" t="str">
            <v>US19</v>
          </cell>
          <cell r="Q15">
            <v>2634</v>
          </cell>
          <cell r="R15">
            <v>659</v>
          </cell>
        </row>
        <row r="16">
          <cell r="D16" t="str">
            <v>US21</v>
          </cell>
          <cell r="E16">
            <v>1216</v>
          </cell>
          <cell r="F16">
            <v>304</v>
          </cell>
          <cell r="J16" t="str">
            <v>US20</v>
          </cell>
          <cell r="K16">
            <v>575</v>
          </cell>
          <cell r="L16">
            <v>144</v>
          </cell>
          <cell r="P16" t="str">
            <v>US20</v>
          </cell>
          <cell r="Q16">
            <v>1894</v>
          </cell>
          <cell r="R16">
            <v>474</v>
          </cell>
        </row>
        <row r="17">
          <cell r="D17" t="str">
            <v>US22</v>
          </cell>
          <cell r="E17">
            <v>886</v>
          </cell>
          <cell r="F17">
            <v>222</v>
          </cell>
          <cell r="J17" t="str">
            <v>US21</v>
          </cell>
          <cell r="K17">
            <v>348</v>
          </cell>
          <cell r="L17">
            <v>87</v>
          </cell>
          <cell r="P17" t="str">
            <v>US21</v>
          </cell>
          <cell r="Q17">
            <v>1628</v>
          </cell>
          <cell r="R17">
            <v>407</v>
          </cell>
        </row>
        <row r="18">
          <cell r="D18" t="str">
            <v>US23</v>
          </cell>
          <cell r="E18">
            <v>698</v>
          </cell>
          <cell r="F18">
            <v>175</v>
          </cell>
          <cell r="J18" t="str">
            <v>US22</v>
          </cell>
          <cell r="K18">
            <v>218</v>
          </cell>
          <cell r="L18">
            <v>55</v>
          </cell>
          <cell r="P18" t="str">
            <v>US22</v>
          </cell>
          <cell r="Q18">
            <v>920</v>
          </cell>
          <cell r="R18">
            <v>230</v>
          </cell>
        </row>
        <row r="19">
          <cell r="D19" t="str">
            <v>US24</v>
          </cell>
          <cell r="E19">
            <v>559</v>
          </cell>
          <cell r="F19">
            <v>140</v>
          </cell>
          <cell r="J19" t="str">
            <v>US23</v>
          </cell>
          <cell r="K19">
            <v>202</v>
          </cell>
          <cell r="L19">
            <v>51</v>
          </cell>
          <cell r="P19" t="str">
            <v>US23</v>
          </cell>
          <cell r="Q19">
            <v>1041</v>
          </cell>
          <cell r="R19">
            <v>260</v>
          </cell>
        </row>
        <row r="20">
          <cell r="D20" t="str">
            <v>US25</v>
          </cell>
          <cell r="E20">
            <v>708</v>
          </cell>
          <cell r="F20">
            <v>177</v>
          </cell>
          <cell r="J20" t="str">
            <v>US24</v>
          </cell>
          <cell r="K20">
            <v>163</v>
          </cell>
          <cell r="L20">
            <v>41</v>
          </cell>
          <cell r="P20" t="str">
            <v>US24</v>
          </cell>
          <cell r="Q20">
            <v>617</v>
          </cell>
          <cell r="R20">
            <v>154</v>
          </cell>
        </row>
        <row r="21">
          <cell r="D21" t="str">
            <v>US26</v>
          </cell>
          <cell r="E21">
            <v>969</v>
          </cell>
          <cell r="F21">
            <v>242</v>
          </cell>
          <cell r="J21" t="str">
            <v>US25</v>
          </cell>
          <cell r="K21">
            <v>120</v>
          </cell>
          <cell r="L21">
            <v>30</v>
          </cell>
          <cell r="P21" t="str">
            <v>US25</v>
          </cell>
          <cell r="Q21">
            <v>821</v>
          </cell>
          <cell r="R21">
            <v>205</v>
          </cell>
        </row>
        <row r="22">
          <cell r="D22" t="str">
            <v>US27</v>
          </cell>
          <cell r="E22">
            <v>468</v>
          </cell>
          <cell r="F22">
            <v>117</v>
          </cell>
          <cell r="J22" t="str">
            <v>US26</v>
          </cell>
          <cell r="K22">
            <v>228</v>
          </cell>
          <cell r="L22">
            <v>57</v>
          </cell>
          <cell r="P22" t="str">
            <v>US26</v>
          </cell>
          <cell r="Q22">
            <v>613</v>
          </cell>
          <cell r="R22">
            <v>153</v>
          </cell>
        </row>
        <row r="23">
          <cell r="D23" t="str">
            <v>US28</v>
          </cell>
          <cell r="E23">
            <v>555</v>
          </cell>
          <cell r="F23">
            <v>139</v>
          </cell>
          <cell r="J23" t="str">
            <v>US27</v>
          </cell>
          <cell r="K23">
            <v>171</v>
          </cell>
          <cell r="L23">
            <v>43</v>
          </cell>
          <cell r="P23" t="str">
            <v>US27</v>
          </cell>
          <cell r="Q23">
            <v>618</v>
          </cell>
          <cell r="R23">
            <v>155</v>
          </cell>
        </row>
        <row r="24">
          <cell r="D24" t="str">
            <v>US29</v>
          </cell>
          <cell r="E24">
            <v>879</v>
          </cell>
          <cell r="F24">
            <v>220</v>
          </cell>
          <cell r="J24" t="str">
            <v>US28</v>
          </cell>
          <cell r="K24">
            <v>102</v>
          </cell>
          <cell r="L24">
            <v>26</v>
          </cell>
          <cell r="P24" t="str">
            <v>US28</v>
          </cell>
          <cell r="Q24">
            <v>385</v>
          </cell>
          <cell r="R24">
            <v>96</v>
          </cell>
        </row>
        <row r="25">
          <cell r="D25" t="str">
            <v>US30</v>
          </cell>
          <cell r="E25">
            <v>647</v>
          </cell>
          <cell r="F25">
            <v>162</v>
          </cell>
          <cell r="J25" t="str">
            <v>US29</v>
          </cell>
          <cell r="K25">
            <v>240</v>
          </cell>
          <cell r="L25">
            <v>60</v>
          </cell>
          <cell r="P25" t="str">
            <v>US29</v>
          </cell>
          <cell r="Q25">
            <v>964</v>
          </cell>
          <cell r="R25">
            <v>241</v>
          </cell>
        </row>
        <row r="26">
          <cell r="D26" t="str">
            <v>US34</v>
          </cell>
          <cell r="E26">
            <v>522</v>
          </cell>
          <cell r="F26">
            <v>131</v>
          </cell>
          <cell r="J26" t="str">
            <v>US30</v>
          </cell>
          <cell r="K26">
            <v>156</v>
          </cell>
          <cell r="L26">
            <v>39</v>
          </cell>
          <cell r="P26" t="str">
            <v>US30</v>
          </cell>
          <cell r="Q26">
            <v>690</v>
          </cell>
          <cell r="R26">
            <v>173</v>
          </cell>
        </row>
        <row r="27">
          <cell r="D27" t="str">
            <v>US35</v>
          </cell>
          <cell r="E27">
            <v>666</v>
          </cell>
          <cell r="F27">
            <v>167</v>
          </cell>
          <cell r="J27" t="str">
            <v>US34</v>
          </cell>
          <cell r="K27">
            <v>100</v>
          </cell>
          <cell r="L27">
            <v>25</v>
          </cell>
          <cell r="P27" t="str">
            <v>US34</v>
          </cell>
          <cell r="Q27">
            <v>400</v>
          </cell>
          <cell r="R27">
            <v>100</v>
          </cell>
        </row>
        <row r="28">
          <cell r="D28" t="str">
            <v>US38</v>
          </cell>
          <cell r="E28">
            <v>2388</v>
          </cell>
          <cell r="F28">
            <v>597</v>
          </cell>
          <cell r="J28" t="str">
            <v>US35</v>
          </cell>
          <cell r="K28">
            <v>189</v>
          </cell>
          <cell r="L28">
            <v>47</v>
          </cell>
          <cell r="P28" t="str">
            <v>US35</v>
          </cell>
          <cell r="Q28">
            <v>905</v>
          </cell>
          <cell r="R28">
            <v>226</v>
          </cell>
        </row>
        <row r="29">
          <cell r="D29" t="str">
            <v>US39</v>
          </cell>
          <cell r="E29">
            <v>672</v>
          </cell>
          <cell r="F29">
            <v>168</v>
          </cell>
          <cell r="J29" t="str">
            <v>US38</v>
          </cell>
          <cell r="K29">
            <v>546</v>
          </cell>
          <cell r="L29">
            <v>137</v>
          </cell>
          <cell r="P29" t="str">
            <v>US38</v>
          </cell>
          <cell r="Q29">
            <v>2231</v>
          </cell>
          <cell r="R29">
            <v>558</v>
          </cell>
        </row>
        <row r="30">
          <cell r="D30" t="str">
            <v>US42</v>
          </cell>
          <cell r="E30">
            <v>483</v>
          </cell>
          <cell r="F30">
            <v>121</v>
          </cell>
          <cell r="J30" t="str">
            <v>US39</v>
          </cell>
          <cell r="K30">
            <v>143</v>
          </cell>
          <cell r="L30">
            <v>36</v>
          </cell>
          <cell r="P30" t="str">
            <v>US39</v>
          </cell>
          <cell r="Q30">
            <v>735</v>
          </cell>
          <cell r="R30">
            <v>184</v>
          </cell>
        </row>
        <row r="31">
          <cell r="D31" t="str">
            <v>US43</v>
          </cell>
          <cell r="E31">
            <v>942</v>
          </cell>
          <cell r="F31">
            <v>236</v>
          </cell>
          <cell r="J31" t="str">
            <v>US42</v>
          </cell>
          <cell r="K31">
            <v>93</v>
          </cell>
          <cell r="L31">
            <v>23</v>
          </cell>
          <cell r="P31" t="str">
            <v>US42</v>
          </cell>
          <cell r="Q31">
            <v>532</v>
          </cell>
          <cell r="R31">
            <v>133</v>
          </cell>
        </row>
        <row r="32">
          <cell r="D32" t="str">
            <v>US45</v>
          </cell>
          <cell r="E32">
            <v>569</v>
          </cell>
          <cell r="F32">
            <v>142</v>
          </cell>
          <cell r="J32" t="str">
            <v>US43</v>
          </cell>
          <cell r="K32">
            <v>247</v>
          </cell>
          <cell r="L32">
            <v>62</v>
          </cell>
          <cell r="P32" t="str">
            <v>US43</v>
          </cell>
          <cell r="Q32">
            <v>1026</v>
          </cell>
          <cell r="R32">
            <v>257</v>
          </cell>
        </row>
        <row r="33">
          <cell r="D33" t="str">
            <v>US46</v>
          </cell>
          <cell r="E33">
            <v>390</v>
          </cell>
          <cell r="F33">
            <v>98</v>
          </cell>
          <cell r="J33" t="str">
            <v>US45</v>
          </cell>
          <cell r="K33">
            <v>124</v>
          </cell>
          <cell r="L33">
            <v>31</v>
          </cell>
          <cell r="P33" t="str">
            <v>US45</v>
          </cell>
          <cell r="Q33">
            <v>668</v>
          </cell>
          <cell r="R33">
            <v>167</v>
          </cell>
        </row>
        <row r="34">
          <cell r="D34" t="str">
            <v>US47</v>
          </cell>
          <cell r="E34">
            <v>701</v>
          </cell>
          <cell r="F34">
            <v>175</v>
          </cell>
          <cell r="J34" t="str">
            <v>US46</v>
          </cell>
          <cell r="K34">
            <v>95</v>
          </cell>
          <cell r="L34">
            <v>24</v>
          </cell>
          <cell r="P34" t="str">
            <v>US46</v>
          </cell>
          <cell r="Q34">
            <v>395</v>
          </cell>
          <cell r="R34">
            <v>99</v>
          </cell>
        </row>
        <row r="35">
          <cell r="D35" t="str">
            <v>US48</v>
          </cell>
          <cell r="E35">
            <v>2159</v>
          </cell>
          <cell r="F35">
            <v>540</v>
          </cell>
          <cell r="J35" t="str">
            <v>US47</v>
          </cell>
          <cell r="K35">
            <v>225</v>
          </cell>
          <cell r="L35">
            <v>56</v>
          </cell>
          <cell r="P35" t="str">
            <v>US47</v>
          </cell>
          <cell r="Q35">
            <v>1080</v>
          </cell>
          <cell r="R35">
            <v>270</v>
          </cell>
        </row>
        <row r="36">
          <cell r="D36" t="str">
            <v>US49</v>
          </cell>
          <cell r="E36">
            <v>356</v>
          </cell>
          <cell r="F36">
            <v>89</v>
          </cell>
          <cell r="J36" t="str">
            <v>US48</v>
          </cell>
          <cell r="K36">
            <v>518</v>
          </cell>
          <cell r="L36">
            <v>130</v>
          </cell>
          <cell r="P36" t="str">
            <v>US48</v>
          </cell>
          <cell r="Q36">
            <v>2528</v>
          </cell>
          <cell r="R36">
            <v>632</v>
          </cell>
        </row>
        <row r="37">
          <cell r="D37" t="str">
            <v>US51</v>
          </cell>
          <cell r="E37">
            <v>1328</v>
          </cell>
          <cell r="F37">
            <v>332</v>
          </cell>
          <cell r="J37" t="str">
            <v>US49</v>
          </cell>
          <cell r="K37">
            <v>34</v>
          </cell>
          <cell r="L37">
            <v>9</v>
          </cell>
          <cell r="P37" t="str">
            <v>US49</v>
          </cell>
          <cell r="Q37">
            <v>390</v>
          </cell>
          <cell r="R37">
            <v>98</v>
          </cell>
        </row>
        <row r="38">
          <cell r="D38" t="str">
            <v>US52</v>
          </cell>
          <cell r="E38">
            <v>595</v>
          </cell>
          <cell r="F38">
            <v>149</v>
          </cell>
          <cell r="J38" t="str">
            <v>US51</v>
          </cell>
          <cell r="K38">
            <v>315</v>
          </cell>
          <cell r="L38">
            <v>79</v>
          </cell>
          <cell r="P38" t="str">
            <v>US51</v>
          </cell>
          <cell r="Q38">
            <v>1355</v>
          </cell>
          <cell r="R38">
            <v>339</v>
          </cell>
        </row>
        <row r="39">
          <cell r="D39" t="str">
            <v>US53</v>
          </cell>
          <cell r="E39">
            <v>397</v>
          </cell>
          <cell r="F39">
            <v>99</v>
          </cell>
          <cell r="J39" t="str">
            <v>US52</v>
          </cell>
          <cell r="K39">
            <v>117</v>
          </cell>
          <cell r="L39">
            <v>29</v>
          </cell>
          <cell r="P39" t="str">
            <v>US52</v>
          </cell>
          <cell r="Q39">
            <v>399</v>
          </cell>
          <cell r="R39">
            <v>100</v>
          </cell>
        </row>
        <row r="40">
          <cell r="D40" t="str">
            <v>US54</v>
          </cell>
          <cell r="E40">
            <v>537</v>
          </cell>
          <cell r="F40">
            <v>134</v>
          </cell>
          <cell r="J40" t="str">
            <v>US53</v>
          </cell>
          <cell r="K40">
            <v>108</v>
          </cell>
          <cell r="L40">
            <v>27</v>
          </cell>
          <cell r="P40" t="str">
            <v>US53</v>
          </cell>
          <cell r="Q40">
            <v>798</v>
          </cell>
          <cell r="R40">
            <v>200</v>
          </cell>
        </row>
        <row r="41">
          <cell r="D41" t="str">
            <v>US55</v>
          </cell>
          <cell r="E41">
            <v>284</v>
          </cell>
          <cell r="F41">
            <v>71</v>
          </cell>
          <cell r="J41" t="str">
            <v>US54</v>
          </cell>
          <cell r="K41">
            <v>101</v>
          </cell>
          <cell r="L41">
            <v>25</v>
          </cell>
          <cell r="P41" t="str">
            <v>US54</v>
          </cell>
          <cell r="Q41">
            <v>417</v>
          </cell>
          <cell r="R41">
            <v>104</v>
          </cell>
        </row>
        <row r="42">
          <cell r="D42" t="str">
            <v>US56</v>
          </cell>
          <cell r="E42">
            <v>714</v>
          </cell>
          <cell r="F42">
            <v>179</v>
          </cell>
          <cell r="J42" t="str">
            <v>US55</v>
          </cell>
          <cell r="K42">
            <v>108</v>
          </cell>
          <cell r="L42">
            <v>27</v>
          </cell>
          <cell r="P42" t="str">
            <v>US55</v>
          </cell>
          <cell r="Q42">
            <v>405</v>
          </cell>
          <cell r="R42">
            <v>101</v>
          </cell>
        </row>
        <row r="43">
          <cell r="D43" t="str">
            <v>US57</v>
          </cell>
          <cell r="E43">
            <v>485</v>
          </cell>
          <cell r="F43">
            <v>121</v>
          </cell>
          <cell r="J43" t="str">
            <v>US56</v>
          </cell>
          <cell r="K43">
            <v>364</v>
          </cell>
          <cell r="L43">
            <v>91</v>
          </cell>
          <cell r="P43" t="str">
            <v>US56</v>
          </cell>
          <cell r="Q43">
            <v>1265</v>
          </cell>
          <cell r="R43">
            <v>316</v>
          </cell>
        </row>
        <row r="44">
          <cell r="D44" t="str">
            <v>US58</v>
          </cell>
          <cell r="E44">
            <v>592</v>
          </cell>
          <cell r="F44">
            <v>148</v>
          </cell>
          <cell r="J44" t="str">
            <v>US57</v>
          </cell>
          <cell r="K44">
            <v>162</v>
          </cell>
          <cell r="L44">
            <v>41</v>
          </cell>
          <cell r="P44" t="str">
            <v>US57</v>
          </cell>
          <cell r="Q44">
            <v>470</v>
          </cell>
          <cell r="R44">
            <v>118</v>
          </cell>
        </row>
        <row r="45">
          <cell r="D45" t="str">
            <v>US59</v>
          </cell>
          <cell r="E45">
            <v>587</v>
          </cell>
          <cell r="F45">
            <v>147</v>
          </cell>
          <cell r="J45" t="str">
            <v>US58</v>
          </cell>
          <cell r="K45">
            <v>107</v>
          </cell>
          <cell r="L45">
            <v>27</v>
          </cell>
          <cell r="P45" t="str">
            <v>US58</v>
          </cell>
          <cell r="Q45">
            <v>838</v>
          </cell>
          <cell r="R45">
            <v>210</v>
          </cell>
        </row>
        <row r="46">
          <cell r="D46" t="str">
            <v>US60</v>
          </cell>
          <cell r="E46">
            <v>613</v>
          </cell>
          <cell r="F46">
            <v>153</v>
          </cell>
          <cell r="J46" t="str">
            <v>US59</v>
          </cell>
          <cell r="K46">
            <v>145</v>
          </cell>
          <cell r="L46">
            <v>36</v>
          </cell>
          <cell r="P46" t="str">
            <v>US59</v>
          </cell>
          <cell r="Q46">
            <v>493</v>
          </cell>
          <cell r="R46">
            <v>123</v>
          </cell>
        </row>
        <row r="47">
          <cell r="D47" t="str">
            <v>US61</v>
          </cell>
          <cell r="E47">
            <v>353</v>
          </cell>
          <cell r="F47">
            <v>88</v>
          </cell>
          <cell r="J47" t="str">
            <v>US60</v>
          </cell>
          <cell r="K47">
            <v>165</v>
          </cell>
          <cell r="L47">
            <v>41</v>
          </cell>
          <cell r="P47" t="str">
            <v>US60</v>
          </cell>
          <cell r="Q47">
            <v>681</v>
          </cell>
          <cell r="R47">
            <v>170</v>
          </cell>
        </row>
        <row r="48">
          <cell r="D48" t="str">
            <v>US62</v>
          </cell>
          <cell r="E48">
            <v>560</v>
          </cell>
          <cell r="F48">
            <v>140</v>
          </cell>
          <cell r="J48" t="str">
            <v>US61</v>
          </cell>
          <cell r="K48">
            <v>110</v>
          </cell>
          <cell r="L48">
            <v>28</v>
          </cell>
          <cell r="P48" t="str">
            <v>US61</v>
          </cell>
          <cell r="Q48">
            <v>549</v>
          </cell>
          <cell r="R48">
            <v>137</v>
          </cell>
        </row>
        <row r="49">
          <cell r="D49" t="str">
            <v>US63</v>
          </cell>
          <cell r="E49">
            <v>351</v>
          </cell>
          <cell r="F49">
            <v>88</v>
          </cell>
          <cell r="J49" t="str">
            <v>US62</v>
          </cell>
          <cell r="K49">
            <v>161</v>
          </cell>
          <cell r="L49">
            <v>40</v>
          </cell>
          <cell r="P49" t="str">
            <v>US62</v>
          </cell>
          <cell r="Q49">
            <v>337</v>
          </cell>
          <cell r="R49">
            <v>84</v>
          </cell>
        </row>
        <row r="50">
          <cell r="D50" t="str">
            <v>US64</v>
          </cell>
          <cell r="E50">
            <v>1044</v>
          </cell>
          <cell r="F50">
            <v>261</v>
          </cell>
          <cell r="J50" t="str">
            <v>US63</v>
          </cell>
          <cell r="K50">
            <v>80</v>
          </cell>
          <cell r="L50">
            <v>20</v>
          </cell>
          <cell r="P50" t="str">
            <v>US63</v>
          </cell>
          <cell r="Q50">
            <v>148</v>
          </cell>
          <cell r="R50">
            <v>37</v>
          </cell>
        </row>
        <row r="51">
          <cell r="D51" t="str">
            <v>US65</v>
          </cell>
          <cell r="E51">
            <v>2237</v>
          </cell>
          <cell r="F51">
            <v>559</v>
          </cell>
          <cell r="J51" t="str">
            <v>US64</v>
          </cell>
          <cell r="K51">
            <v>272</v>
          </cell>
          <cell r="L51">
            <v>68</v>
          </cell>
          <cell r="P51" t="str">
            <v>US64</v>
          </cell>
          <cell r="Q51">
            <v>1498</v>
          </cell>
          <cell r="R51">
            <v>375</v>
          </cell>
        </row>
        <row r="52">
          <cell r="D52" t="str">
            <v>US66</v>
          </cell>
          <cell r="E52">
            <v>977</v>
          </cell>
          <cell r="F52">
            <v>244</v>
          </cell>
          <cell r="J52" t="str">
            <v>US65</v>
          </cell>
          <cell r="K52">
            <v>527</v>
          </cell>
          <cell r="L52">
            <v>132</v>
          </cell>
          <cell r="P52" t="str">
            <v>US65</v>
          </cell>
          <cell r="Q52">
            <v>2547</v>
          </cell>
          <cell r="R52">
            <v>637</v>
          </cell>
        </row>
        <row r="53">
          <cell r="D53" t="str">
            <v>US67</v>
          </cell>
          <cell r="E53">
            <v>714</v>
          </cell>
          <cell r="F53">
            <v>179</v>
          </cell>
          <cell r="J53" t="str">
            <v>US66</v>
          </cell>
          <cell r="K53">
            <v>216</v>
          </cell>
          <cell r="L53">
            <v>54</v>
          </cell>
          <cell r="P53" t="str">
            <v>US66</v>
          </cell>
          <cell r="Q53">
            <v>1439</v>
          </cell>
          <cell r="R53">
            <v>360</v>
          </cell>
        </row>
        <row r="54">
          <cell r="D54" t="str">
            <v>US69</v>
          </cell>
          <cell r="E54">
            <v>979</v>
          </cell>
          <cell r="F54">
            <v>245</v>
          </cell>
          <cell r="J54" t="str">
            <v>US67</v>
          </cell>
          <cell r="K54">
            <v>74</v>
          </cell>
          <cell r="L54">
            <v>19</v>
          </cell>
          <cell r="P54" t="str">
            <v>US67</v>
          </cell>
          <cell r="Q54">
            <v>699</v>
          </cell>
          <cell r="R54">
            <v>175</v>
          </cell>
        </row>
        <row r="55">
          <cell r="D55" t="str">
            <v>US70</v>
          </cell>
          <cell r="E55">
            <v>553</v>
          </cell>
          <cell r="F55">
            <v>138</v>
          </cell>
          <cell r="J55" t="str">
            <v>US69</v>
          </cell>
          <cell r="K55">
            <v>235</v>
          </cell>
          <cell r="L55">
            <v>59</v>
          </cell>
          <cell r="P55" t="str">
            <v>US69</v>
          </cell>
          <cell r="Q55">
            <v>1162</v>
          </cell>
          <cell r="R55">
            <v>291</v>
          </cell>
        </row>
        <row r="56">
          <cell r="D56" t="str">
            <v>US71</v>
          </cell>
          <cell r="E56">
            <v>587</v>
          </cell>
          <cell r="F56">
            <v>147</v>
          </cell>
          <cell r="J56" t="str">
            <v>US70</v>
          </cell>
          <cell r="K56">
            <v>89</v>
          </cell>
          <cell r="L56">
            <v>22</v>
          </cell>
          <cell r="P56" t="str">
            <v>US70</v>
          </cell>
          <cell r="Q56">
            <v>654</v>
          </cell>
          <cell r="R56">
            <v>164</v>
          </cell>
        </row>
        <row r="57">
          <cell r="D57" t="str">
            <v>US72</v>
          </cell>
          <cell r="E57">
            <v>809</v>
          </cell>
          <cell r="F57">
            <v>202</v>
          </cell>
          <cell r="J57" t="str">
            <v>US71</v>
          </cell>
          <cell r="K57">
            <v>108</v>
          </cell>
          <cell r="L57">
            <v>27</v>
          </cell>
          <cell r="P57" t="str">
            <v>US71</v>
          </cell>
          <cell r="Q57">
            <v>623</v>
          </cell>
          <cell r="R57">
            <v>156</v>
          </cell>
        </row>
        <row r="58">
          <cell r="D58" t="str">
            <v>US73</v>
          </cell>
          <cell r="E58">
            <v>480</v>
          </cell>
          <cell r="F58">
            <v>120</v>
          </cell>
          <cell r="J58" t="str">
            <v>US72</v>
          </cell>
          <cell r="K58">
            <v>166</v>
          </cell>
          <cell r="L58">
            <v>42</v>
          </cell>
          <cell r="P58" t="str">
            <v>US72</v>
          </cell>
          <cell r="Q58">
            <v>720</v>
          </cell>
          <cell r="R58">
            <v>180</v>
          </cell>
        </row>
        <row r="59">
          <cell r="D59" t="str">
            <v>US74</v>
          </cell>
          <cell r="E59">
            <v>1427</v>
          </cell>
          <cell r="F59">
            <v>357</v>
          </cell>
          <cell r="J59" t="str">
            <v>US73</v>
          </cell>
          <cell r="K59">
            <v>125</v>
          </cell>
          <cell r="L59">
            <v>31</v>
          </cell>
          <cell r="P59" t="str">
            <v>US73</v>
          </cell>
          <cell r="Q59">
            <v>565</v>
          </cell>
          <cell r="R59">
            <v>141</v>
          </cell>
        </row>
        <row r="60">
          <cell r="D60" t="str">
            <v>US75</v>
          </cell>
          <cell r="E60">
            <v>672</v>
          </cell>
          <cell r="F60">
            <v>168</v>
          </cell>
          <cell r="J60" t="str">
            <v>US74</v>
          </cell>
          <cell r="K60">
            <v>388</v>
          </cell>
          <cell r="L60">
            <v>97</v>
          </cell>
          <cell r="P60" t="str">
            <v>US74</v>
          </cell>
          <cell r="Q60">
            <v>1812</v>
          </cell>
          <cell r="R60">
            <v>453</v>
          </cell>
        </row>
        <row r="61">
          <cell r="D61" t="str">
            <v>US76</v>
          </cell>
          <cell r="E61">
            <v>830</v>
          </cell>
          <cell r="F61">
            <v>208</v>
          </cell>
          <cell r="J61" t="str">
            <v>US75</v>
          </cell>
          <cell r="K61">
            <v>194</v>
          </cell>
          <cell r="L61">
            <v>49</v>
          </cell>
          <cell r="P61" t="str">
            <v>US75</v>
          </cell>
          <cell r="Q61">
            <v>982</v>
          </cell>
          <cell r="R61">
            <v>246</v>
          </cell>
        </row>
        <row r="62">
          <cell r="D62" t="str">
            <v>US77</v>
          </cell>
          <cell r="E62">
            <v>839</v>
          </cell>
          <cell r="F62">
            <v>210</v>
          </cell>
          <cell r="J62" t="str">
            <v>US76</v>
          </cell>
          <cell r="K62">
            <v>298</v>
          </cell>
          <cell r="L62">
            <v>75</v>
          </cell>
          <cell r="P62" t="str">
            <v>US76</v>
          </cell>
          <cell r="Q62">
            <v>1221</v>
          </cell>
          <cell r="R62">
            <v>305</v>
          </cell>
        </row>
        <row r="63">
          <cell r="D63" t="str">
            <v>US78</v>
          </cell>
          <cell r="E63">
            <v>770</v>
          </cell>
          <cell r="F63">
            <v>193</v>
          </cell>
          <cell r="J63" t="str">
            <v>US77</v>
          </cell>
          <cell r="K63">
            <v>208</v>
          </cell>
          <cell r="L63">
            <v>52</v>
          </cell>
          <cell r="P63" t="str">
            <v>US77</v>
          </cell>
          <cell r="Q63">
            <v>1323</v>
          </cell>
          <cell r="R63">
            <v>331</v>
          </cell>
        </row>
        <row r="64">
          <cell r="D64" t="str">
            <v>US79</v>
          </cell>
          <cell r="E64">
            <v>1703</v>
          </cell>
          <cell r="F64">
            <v>426</v>
          </cell>
          <cell r="J64" t="str">
            <v>US78</v>
          </cell>
          <cell r="K64">
            <v>251</v>
          </cell>
          <cell r="L64">
            <v>63</v>
          </cell>
          <cell r="P64" t="str">
            <v>US78</v>
          </cell>
          <cell r="Q64">
            <v>905</v>
          </cell>
          <cell r="R64">
            <v>226</v>
          </cell>
        </row>
        <row r="65">
          <cell r="D65" t="str">
            <v>US80</v>
          </cell>
          <cell r="E65">
            <v>1256</v>
          </cell>
          <cell r="F65">
            <v>314</v>
          </cell>
          <cell r="J65" t="str">
            <v>US79</v>
          </cell>
          <cell r="K65">
            <v>191</v>
          </cell>
          <cell r="L65">
            <v>48</v>
          </cell>
          <cell r="P65" t="str">
            <v>US79</v>
          </cell>
          <cell r="Q65">
            <v>590</v>
          </cell>
          <cell r="R65">
            <v>148</v>
          </cell>
        </row>
        <row r="66">
          <cell r="D66" t="str">
            <v>US81</v>
          </cell>
          <cell r="E66">
            <v>636</v>
          </cell>
          <cell r="F66">
            <v>159</v>
          </cell>
          <cell r="J66" t="str">
            <v>US80</v>
          </cell>
          <cell r="K66">
            <v>296</v>
          </cell>
          <cell r="L66">
            <v>74</v>
          </cell>
          <cell r="P66" t="str">
            <v>US80</v>
          </cell>
          <cell r="Q66">
            <v>1697</v>
          </cell>
          <cell r="R66">
            <v>424</v>
          </cell>
        </row>
        <row r="67">
          <cell r="D67" t="str">
            <v>US82</v>
          </cell>
          <cell r="E67">
            <v>745</v>
          </cell>
          <cell r="F67">
            <v>186</v>
          </cell>
          <cell r="J67" t="str">
            <v>US81</v>
          </cell>
          <cell r="K67">
            <v>167</v>
          </cell>
          <cell r="L67">
            <v>42</v>
          </cell>
          <cell r="P67" t="str">
            <v>US81</v>
          </cell>
          <cell r="Q67">
            <v>638</v>
          </cell>
          <cell r="R67">
            <v>160</v>
          </cell>
        </row>
        <row r="68">
          <cell r="D68" t="str">
            <v>US83</v>
          </cell>
          <cell r="E68">
            <v>908</v>
          </cell>
          <cell r="F68">
            <v>227</v>
          </cell>
          <cell r="J68" t="str">
            <v>US82</v>
          </cell>
          <cell r="K68">
            <v>212</v>
          </cell>
          <cell r="L68">
            <v>53</v>
          </cell>
          <cell r="P68" t="str">
            <v>US82</v>
          </cell>
          <cell r="Q68">
            <v>698</v>
          </cell>
          <cell r="R68">
            <v>175</v>
          </cell>
        </row>
        <row r="69">
          <cell r="D69" t="str">
            <v>US84</v>
          </cell>
          <cell r="E69">
            <v>515</v>
          </cell>
          <cell r="F69">
            <v>129</v>
          </cell>
          <cell r="J69" t="str">
            <v>US83</v>
          </cell>
          <cell r="K69">
            <v>209</v>
          </cell>
          <cell r="L69">
            <v>52</v>
          </cell>
          <cell r="P69" t="str">
            <v>US83</v>
          </cell>
          <cell r="Q69">
            <v>766</v>
          </cell>
          <cell r="R69">
            <v>192</v>
          </cell>
        </row>
        <row r="70">
          <cell r="D70" t="str">
            <v>US85</v>
          </cell>
          <cell r="E70">
            <v>721</v>
          </cell>
          <cell r="F70">
            <v>180</v>
          </cell>
          <cell r="J70" t="str">
            <v>US84</v>
          </cell>
          <cell r="K70">
            <v>125</v>
          </cell>
          <cell r="L70">
            <v>31</v>
          </cell>
          <cell r="P70" t="str">
            <v>US84</v>
          </cell>
          <cell r="Q70">
            <v>419</v>
          </cell>
          <cell r="R70">
            <v>105</v>
          </cell>
        </row>
        <row r="71">
          <cell r="D71" t="str">
            <v>US86</v>
          </cell>
          <cell r="E71">
            <v>462</v>
          </cell>
          <cell r="F71">
            <v>116</v>
          </cell>
          <cell r="J71" t="str">
            <v>US85</v>
          </cell>
          <cell r="K71">
            <v>136</v>
          </cell>
          <cell r="L71">
            <v>34</v>
          </cell>
          <cell r="P71" t="str">
            <v>US85</v>
          </cell>
          <cell r="Q71">
            <v>618</v>
          </cell>
          <cell r="R71">
            <v>155</v>
          </cell>
        </row>
        <row r="72">
          <cell r="D72" t="str">
            <v>US88</v>
          </cell>
          <cell r="E72">
            <v>1123</v>
          </cell>
          <cell r="F72">
            <v>281</v>
          </cell>
          <cell r="J72" t="str">
            <v>US86</v>
          </cell>
          <cell r="K72">
            <v>128</v>
          </cell>
          <cell r="L72">
            <v>32</v>
          </cell>
          <cell r="P72" t="str">
            <v>US86</v>
          </cell>
          <cell r="Q72">
            <v>743</v>
          </cell>
          <cell r="R72">
            <v>186</v>
          </cell>
        </row>
        <row r="73">
          <cell r="D73" t="str">
            <v>US89</v>
          </cell>
          <cell r="E73">
            <v>1121</v>
          </cell>
          <cell r="F73">
            <v>280</v>
          </cell>
          <cell r="J73" t="str">
            <v>US88</v>
          </cell>
          <cell r="K73">
            <v>290</v>
          </cell>
          <cell r="L73">
            <v>73</v>
          </cell>
          <cell r="P73" t="str">
            <v>US88</v>
          </cell>
          <cell r="Q73">
            <v>952</v>
          </cell>
          <cell r="R73">
            <v>238</v>
          </cell>
        </row>
        <row r="74">
          <cell r="D74" t="str">
            <v>US90</v>
          </cell>
          <cell r="E74">
            <v>467</v>
          </cell>
          <cell r="F74">
            <v>117</v>
          </cell>
          <cell r="J74" t="str">
            <v>US89</v>
          </cell>
          <cell r="K74">
            <v>153</v>
          </cell>
          <cell r="L74">
            <v>38</v>
          </cell>
          <cell r="P74" t="str">
            <v>US89</v>
          </cell>
          <cell r="Q74">
            <v>425</v>
          </cell>
          <cell r="R74">
            <v>106</v>
          </cell>
        </row>
        <row r="75">
          <cell r="D75" t="str">
            <v>US94</v>
          </cell>
          <cell r="E75">
            <v>1058</v>
          </cell>
          <cell r="F75">
            <v>265</v>
          </cell>
          <cell r="J75" t="str">
            <v>US90</v>
          </cell>
          <cell r="K75">
            <v>35</v>
          </cell>
          <cell r="L75">
            <v>9</v>
          </cell>
          <cell r="P75" t="str">
            <v>US90</v>
          </cell>
          <cell r="Q75">
            <v>254</v>
          </cell>
          <cell r="R75">
            <v>64</v>
          </cell>
        </row>
        <row r="76">
          <cell r="D76" t="str">
            <v>US95</v>
          </cell>
          <cell r="E76">
            <v>820</v>
          </cell>
          <cell r="F76">
            <v>205</v>
          </cell>
          <cell r="J76" t="str">
            <v>US94</v>
          </cell>
          <cell r="K76">
            <v>375</v>
          </cell>
          <cell r="L76">
            <v>94</v>
          </cell>
          <cell r="P76" t="str">
            <v>US94</v>
          </cell>
          <cell r="Q76">
            <v>1513</v>
          </cell>
          <cell r="R76">
            <v>378</v>
          </cell>
        </row>
        <row r="77">
          <cell r="D77" t="str">
            <v>US96</v>
          </cell>
          <cell r="E77">
            <v>1580</v>
          </cell>
          <cell r="F77">
            <v>395</v>
          </cell>
          <cell r="J77" t="str">
            <v>US95</v>
          </cell>
          <cell r="K77">
            <v>319</v>
          </cell>
          <cell r="L77">
            <v>80</v>
          </cell>
          <cell r="P77" t="str">
            <v>US95</v>
          </cell>
          <cell r="Q77">
            <v>896</v>
          </cell>
          <cell r="R77">
            <v>224</v>
          </cell>
        </row>
        <row r="78">
          <cell r="D78" t="str">
            <v>US97</v>
          </cell>
          <cell r="E78">
            <v>1236</v>
          </cell>
          <cell r="F78">
            <v>309</v>
          </cell>
          <cell r="J78" t="str">
            <v>US96</v>
          </cell>
          <cell r="K78">
            <v>509</v>
          </cell>
          <cell r="L78">
            <v>127</v>
          </cell>
          <cell r="P78" t="str">
            <v>US96</v>
          </cell>
          <cell r="Q78">
            <v>1648</v>
          </cell>
          <cell r="R78">
            <v>412</v>
          </cell>
        </row>
        <row r="79">
          <cell r="D79" t="str">
            <v>US98</v>
          </cell>
          <cell r="E79">
            <v>1317</v>
          </cell>
          <cell r="F79">
            <v>329</v>
          </cell>
          <cell r="J79" t="str">
            <v>US97</v>
          </cell>
          <cell r="K79">
            <v>299</v>
          </cell>
          <cell r="L79">
            <v>75</v>
          </cell>
          <cell r="P79" t="str">
            <v>US97</v>
          </cell>
          <cell r="Q79">
            <v>1197</v>
          </cell>
          <cell r="R79">
            <v>299</v>
          </cell>
        </row>
        <row r="80">
          <cell r="D80" t="str">
            <v>US99</v>
          </cell>
          <cell r="E80">
            <v>662</v>
          </cell>
          <cell r="F80">
            <v>166</v>
          </cell>
          <cell r="J80" t="str">
            <v>US98</v>
          </cell>
          <cell r="K80">
            <v>547</v>
          </cell>
          <cell r="L80">
            <v>137</v>
          </cell>
          <cell r="P80" t="str">
            <v>US98</v>
          </cell>
          <cell r="Q80">
            <v>1424</v>
          </cell>
          <cell r="R80">
            <v>356</v>
          </cell>
        </row>
        <row r="81">
          <cell r="D81" t="str">
            <v>USA1</v>
          </cell>
          <cell r="E81">
            <v>748</v>
          </cell>
          <cell r="F81">
            <v>187</v>
          </cell>
          <cell r="J81" t="str">
            <v>US99</v>
          </cell>
          <cell r="K81">
            <v>140</v>
          </cell>
          <cell r="L81">
            <v>35</v>
          </cell>
          <cell r="P81" t="str">
            <v>US99</v>
          </cell>
          <cell r="Q81">
            <v>771</v>
          </cell>
          <cell r="R81">
            <v>193</v>
          </cell>
        </row>
        <row r="82">
          <cell r="D82" t="str">
            <v>USA2</v>
          </cell>
          <cell r="E82">
            <v>1563</v>
          </cell>
          <cell r="F82">
            <v>391</v>
          </cell>
          <cell r="J82" t="str">
            <v>USA1</v>
          </cell>
          <cell r="K82">
            <v>141</v>
          </cell>
          <cell r="L82">
            <v>35</v>
          </cell>
          <cell r="P82" t="str">
            <v>USA1</v>
          </cell>
          <cell r="Q82">
            <v>592</v>
          </cell>
          <cell r="R82">
            <v>148</v>
          </cell>
        </row>
        <row r="83">
          <cell r="D83" t="str">
            <v>USA3</v>
          </cell>
          <cell r="E83">
            <v>468</v>
          </cell>
          <cell r="F83">
            <v>117</v>
          </cell>
          <cell r="J83" t="str">
            <v>USA2</v>
          </cell>
          <cell r="K83">
            <v>491</v>
          </cell>
          <cell r="L83">
            <v>123</v>
          </cell>
          <cell r="P83" t="str">
            <v>USA2</v>
          </cell>
          <cell r="Q83">
            <v>1641</v>
          </cell>
          <cell r="R83">
            <v>410</v>
          </cell>
        </row>
        <row r="84">
          <cell r="D84" t="str">
            <v>USA4</v>
          </cell>
          <cell r="E84">
            <v>1960</v>
          </cell>
          <cell r="F84">
            <v>490</v>
          </cell>
          <cell r="J84" t="str">
            <v>USA3</v>
          </cell>
          <cell r="K84">
            <v>94</v>
          </cell>
          <cell r="L84">
            <v>24</v>
          </cell>
          <cell r="P84" t="str">
            <v>USA3</v>
          </cell>
          <cell r="Q84">
            <v>510</v>
          </cell>
          <cell r="R84">
            <v>128</v>
          </cell>
        </row>
        <row r="85">
          <cell r="D85" t="str">
            <v>USA5</v>
          </cell>
          <cell r="E85">
            <v>974</v>
          </cell>
          <cell r="F85">
            <v>244</v>
          </cell>
          <cell r="J85" t="str">
            <v>USA4</v>
          </cell>
          <cell r="K85">
            <v>336</v>
          </cell>
          <cell r="L85">
            <v>84</v>
          </cell>
          <cell r="P85" t="str">
            <v>USA4</v>
          </cell>
          <cell r="Q85">
            <v>1930</v>
          </cell>
          <cell r="R85">
            <v>483</v>
          </cell>
        </row>
        <row r="86">
          <cell r="D86" t="str">
            <v>USA7</v>
          </cell>
          <cell r="E86">
            <v>683</v>
          </cell>
          <cell r="F86">
            <v>171</v>
          </cell>
          <cell r="J86" t="str">
            <v>USA5</v>
          </cell>
          <cell r="K86">
            <v>241</v>
          </cell>
          <cell r="L86">
            <v>60</v>
          </cell>
          <cell r="P86" t="str">
            <v>USA5</v>
          </cell>
          <cell r="Q86">
            <v>1708</v>
          </cell>
          <cell r="R86">
            <v>427</v>
          </cell>
        </row>
        <row r="87">
          <cell r="D87" t="str">
            <v>USA8</v>
          </cell>
          <cell r="E87">
            <v>547</v>
          </cell>
          <cell r="F87">
            <v>137</v>
          </cell>
          <cell r="J87" t="str">
            <v>USA7</v>
          </cell>
          <cell r="K87">
            <v>125</v>
          </cell>
          <cell r="L87">
            <v>31</v>
          </cell>
          <cell r="P87" t="str">
            <v>USA7</v>
          </cell>
          <cell r="Q87">
            <v>1037</v>
          </cell>
          <cell r="R87">
            <v>259</v>
          </cell>
        </row>
        <row r="88">
          <cell r="D88" t="str">
            <v>USA9</v>
          </cell>
          <cell r="E88">
            <v>706</v>
          </cell>
          <cell r="F88">
            <v>177</v>
          </cell>
          <cell r="J88" t="str">
            <v>USA8</v>
          </cell>
          <cell r="K88">
            <v>89</v>
          </cell>
          <cell r="L88">
            <v>22</v>
          </cell>
          <cell r="P88" t="str">
            <v>USA8</v>
          </cell>
          <cell r="Q88">
            <v>552</v>
          </cell>
          <cell r="R88">
            <v>138</v>
          </cell>
        </row>
        <row r="89">
          <cell r="D89" t="str">
            <v>USAA</v>
          </cell>
          <cell r="E89">
            <v>4402</v>
          </cell>
          <cell r="F89">
            <v>1101</v>
          </cell>
          <cell r="J89" t="str">
            <v>USA9</v>
          </cell>
          <cell r="K89">
            <v>220</v>
          </cell>
          <cell r="L89">
            <v>55</v>
          </cell>
          <cell r="P89" t="str">
            <v>USA9</v>
          </cell>
          <cell r="Q89">
            <v>639</v>
          </cell>
          <cell r="R89">
            <v>160</v>
          </cell>
        </row>
        <row r="90">
          <cell r="D90" t="str">
            <v>USB8</v>
          </cell>
          <cell r="E90">
            <v>1693</v>
          </cell>
          <cell r="F90">
            <v>423</v>
          </cell>
          <cell r="J90" t="str">
            <v>USAA</v>
          </cell>
          <cell r="K90">
            <v>1010</v>
          </cell>
          <cell r="L90">
            <v>253</v>
          </cell>
          <cell r="P90" t="str">
            <v>USAA</v>
          </cell>
          <cell r="Q90">
            <v>3895</v>
          </cell>
          <cell r="R90">
            <v>974</v>
          </cell>
        </row>
        <row r="91">
          <cell r="D91" t="str">
            <v>USC8</v>
          </cell>
          <cell r="E91">
            <v>502</v>
          </cell>
          <cell r="F91">
            <v>234</v>
          </cell>
          <cell r="J91" t="str">
            <v>USB8</v>
          </cell>
          <cell r="K91">
            <v>493</v>
          </cell>
          <cell r="L91">
            <v>123</v>
          </cell>
          <cell r="P91" t="str">
            <v>USB8</v>
          </cell>
          <cell r="Q91">
            <v>2157</v>
          </cell>
          <cell r="R91">
            <v>539</v>
          </cell>
        </row>
        <row r="92">
          <cell r="D92" t="str">
            <v>USD6</v>
          </cell>
          <cell r="E92">
            <v>663</v>
          </cell>
          <cell r="F92">
            <v>580</v>
          </cell>
          <cell r="J92" t="str">
            <v>USC8</v>
          </cell>
          <cell r="K92">
            <v>83</v>
          </cell>
          <cell r="L92">
            <v>39</v>
          </cell>
          <cell r="P92" t="str">
            <v>USC8</v>
          </cell>
          <cell r="Q92">
            <v>400</v>
          </cell>
          <cell r="R92">
            <v>187</v>
          </cell>
        </row>
        <row r="93">
          <cell r="D93" t="str">
            <v>USD7</v>
          </cell>
          <cell r="E93">
            <v>1160</v>
          </cell>
          <cell r="F93">
            <v>290</v>
          </cell>
          <cell r="J93" t="str">
            <v>USD6</v>
          </cell>
          <cell r="K93">
            <v>95</v>
          </cell>
          <cell r="L93">
            <v>83</v>
          </cell>
          <cell r="P93" t="str">
            <v>USD6</v>
          </cell>
          <cell r="Q93">
            <v>849</v>
          </cell>
          <cell r="R93">
            <v>743</v>
          </cell>
        </row>
        <row r="94">
          <cell r="D94" t="str">
            <v>Grand Total</v>
          </cell>
          <cell r="E94">
            <v>83812</v>
          </cell>
          <cell r="F94">
            <v>20953</v>
          </cell>
          <cell r="J94" t="str">
            <v>USD7</v>
          </cell>
          <cell r="K94">
            <v>261</v>
          </cell>
          <cell r="L94">
            <v>65</v>
          </cell>
          <cell r="P94" t="str">
            <v>USD7</v>
          </cell>
          <cell r="Q94">
            <v>825</v>
          </cell>
          <cell r="R94">
            <v>206</v>
          </cell>
        </row>
        <row r="95">
          <cell r="J95" t="str">
            <v>Grand Total</v>
          </cell>
          <cell r="K95">
            <v>21063</v>
          </cell>
          <cell r="L95">
            <v>5266</v>
          </cell>
          <cell r="P95" t="str">
            <v>Grand Total</v>
          </cell>
          <cell r="Q95">
            <v>91027</v>
          </cell>
          <cell r="R95">
            <v>22757</v>
          </cell>
        </row>
      </sheetData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明细"/>
    </sheetNames>
    <sheetDataSet>
      <sheetData sheetId="0"/>
      <sheetData sheetId="1">
        <row r="4">
          <cell r="E4" t="str">
            <v>US05</v>
          </cell>
          <cell r="F4">
            <v>1949</v>
          </cell>
        </row>
        <row r="5">
          <cell r="E5" t="str">
            <v>US10</v>
          </cell>
          <cell r="F5">
            <v>2441</v>
          </cell>
        </row>
        <row r="6">
          <cell r="E6" t="str">
            <v>US13</v>
          </cell>
          <cell r="F6">
            <v>2606</v>
          </cell>
        </row>
        <row r="7">
          <cell r="E7" t="str">
            <v>US15</v>
          </cell>
          <cell r="F7">
            <v>2399</v>
          </cell>
        </row>
        <row r="8">
          <cell r="E8" t="str">
            <v>US19</v>
          </cell>
          <cell r="F8">
            <v>3515</v>
          </cell>
        </row>
        <row r="9">
          <cell r="E9" t="str">
            <v>US20</v>
          </cell>
          <cell r="F9">
            <v>2516</v>
          </cell>
        </row>
        <row r="10">
          <cell r="E10" t="str">
            <v>US43</v>
          </cell>
          <cell r="F10">
            <v>1934</v>
          </cell>
        </row>
        <row r="11">
          <cell r="E11" t="str">
            <v>US48</v>
          </cell>
          <cell r="F11">
            <v>3500</v>
          </cell>
        </row>
        <row r="12">
          <cell r="E12" t="str">
            <v>US64</v>
          </cell>
          <cell r="F12">
            <v>2498</v>
          </cell>
        </row>
        <row r="13">
          <cell r="E13" t="str">
            <v>US65</v>
          </cell>
          <cell r="F13">
            <v>3440</v>
          </cell>
        </row>
        <row r="14">
          <cell r="E14" t="str">
            <v>US74</v>
          </cell>
          <cell r="F14">
            <v>584</v>
          </cell>
        </row>
        <row r="15">
          <cell r="E15" t="str">
            <v>US80</v>
          </cell>
          <cell r="F15">
            <v>1955</v>
          </cell>
        </row>
        <row r="16">
          <cell r="E16" t="str">
            <v>USAA</v>
          </cell>
          <cell r="F16">
            <v>5104</v>
          </cell>
        </row>
        <row r="17">
          <cell r="E17" t="str">
            <v>US83</v>
          </cell>
          <cell r="F17">
            <v>885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ory"/>
      <sheetName val="Meters Count"/>
      <sheetName val="Std Display Qty"/>
      <sheetName val="Food Monitor"/>
      <sheetName val="Plush Monitor"/>
      <sheetName val="Worksheet"/>
      <sheetName val="paste"/>
      <sheetName val="Store Rank "/>
    </sheetNames>
    <sheetDataSet>
      <sheetData sheetId="0"/>
      <sheetData sheetId="1"/>
      <sheetData sheetId="2"/>
      <sheetData sheetId="3">
        <row r="4">
          <cell r="A4" t="str">
            <v>US01</v>
          </cell>
          <cell r="B4" t="str">
            <v>CO-SCA-Pasadena</v>
          </cell>
          <cell r="C4" t="str">
            <v>CA</v>
          </cell>
          <cell r="D4" t="str">
            <v>B</v>
          </cell>
          <cell r="E4">
            <v>1</v>
          </cell>
          <cell r="F4">
            <v>1</v>
          </cell>
          <cell r="G4">
            <v>1600</v>
          </cell>
          <cell r="H4">
            <v>200</v>
          </cell>
          <cell r="I4">
            <v>0.95</v>
          </cell>
          <cell r="J4">
            <v>1618</v>
          </cell>
          <cell r="K4">
            <v>262</v>
          </cell>
          <cell r="L4">
            <v>43.229007633587784</v>
          </cell>
          <cell r="M4">
            <v>2.6183206106870229</v>
          </cell>
          <cell r="N4">
            <v>17</v>
          </cell>
          <cell r="O4">
            <v>618.28571428571422</v>
          </cell>
          <cell r="P4">
            <v>300</v>
          </cell>
          <cell r="Q4" t="str">
            <v xml:space="preserve"> wly sale(upper</v>
          </cell>
          <cell r="R4">
            <v>786</v>
          </cell>
          <cell r="S4" t="str">
            <v>Understock</v>
          </cell>
          <cell r="T4" t="str">
            <v>Decrease Display</v>
          </cell>
          <cell r="U4">
            <v>362</v>
          </cell>
          <cell r="V4">
            <v>86</v>
          </cell>
          <cell r="W4">
            <v>29.465116279069765</v>
          </cell>
          <cell r="X4">
            <v>14</v>
          </cell>
          <cell r="Y4">
            <v>17</v>
          </cell>
          <cell r="Z4">
            <v>46.85714285714289</v>
          </cell>
          <cell r="AA4">
            <v>110</v>
          </cell>
          <cell r="AB4">
            <v>258</v>
          </cell>
          <cell r="AC4" t="str">
            <v>wly(lower</v>
          </cell>
          <cell r="AD4" t="str">
            <v>Reg Replen</v>
          </cell>
        </row>
        <row r="5">
          <cell r="A5" t="str">
            <v>US03</v>
          </cell>
          <cell r="B5" t="str">
            <v>CO-SCA-Moreno Valley</v>
          </cell>
          <cell r="C5" t="str">
            <v>CA</v>
          </cell>
          <cell r="D5" t="str">
            <v>B</v>
          </cell>
          <cell r="E5">
            <v>3</v>
          </cell>
          <cell r="F5">
            <v>1</v>
          </cell>
          <cell r="G5">
            <v>2400</v>
          </cell>
          <cell r="H5">
            <v>400</v>
          </cell>
          <cell r="I5">
            <v>0.9</v>
          </cell>
          <cell r="J5">
            <v>2443</v>
          </cell>
          <cell r="K5">
            <v>206</v>
          </cell>
          <cell r="L5">
            <v>83.014563106796118</v>
          </cell>
          <cell r="M5">
            <v>9.616504854368932</v>
          </cell>
          <cell r="N5">
            <v>17</v>
          </cell>
          <cell r="O5">
            <v>457.28571428571422</v>
          </cell>
          <cell r="P5">
            <v>300</v>
          </cell>
          <cell r="Q5" t="str">
            <v xml:space="preserve"> wly sale(upper</v>
          </cell>
          <cell r="R5">
            <v>618</v>
          </cell>
          <cell r="S5" t="str">
            <v>Reg Replen</v>
          </cell>
          <cell r="T5" t="str">
            <v xml:space="preserve"> </v>
          </cell>
          <cell r="U5">
            <v>270</v>
          </cell>
          <cell r="V5">
            <v>101</v>
          </cell>
          <cell r="W5">
            <v>18.712871287128714</v>
          </cell>
          <cell r="X5">
            <v>-6.2376237623762378</v>
          </cell>
          <cell r="Y5">
            <v>17</v>
          </cell>
          <cell r="Z5">
            <v>375.28571428571422</v>
          </cell>
          <cell r="AA5">
            <v>160</v>
          </cell>
          <cell r="AB5">
            <v>303</v>
          </cell>
          <cell r="AC5" t="str">
            <v>wly+30</v>
          </cell>
          <cell r="AD5" t="str">
            <v>Understock</v>
          </cell>
        </row>
        <row r="6">
          <cell r="A6" t="str">
            <v>US05</v>
          </cell>
          <cell r="B6" t="str">
            <v>CO-SCA-Arcadia</v>
          </cell>
          <cell r="C6" t="str">
            <v>CA</v>
          </cell>
          <cell r="D6" t="str">
            <v>A</v>
          </cell>
          <cell r="E6">
            <v>3</v>
          </cell>
          <cell r="F6">
            <v>1</v>
          </cell>
          <cell r="G6">
            <v>2400</v>
          </cell>
          <cell r="H6">
            <v>400</v>
          </cell>
          <cell r="I6">
            <v>1</v>
          </cell>
          <cell r="J6">
            <v>3455</v>
          </cell>
          <cell r="K6">
            <v>430</v>
          </cell>
          <cell r="L6">
            <v>56.244186046511629</v>
          </cell>
          <cell r="M6">
            <v>17.174418604651162</v>
          </cell>
          <cell r="N6">
            <v>17</v>
          </cell>
          <cell r="O6">
            <v>0</v>
          </cell>
          <cell r="P6">
            <v>500</v>
          </cell>
          <cell r="Q6" t="str">
            <v xml:space="preserve"> wly sale(upper</v>
          </cell>
          <cell r="R6">
            <v>1290</v>
          </cell>
          <cell r="S6" t="str">
            <v>Reg Replen</v>
          </cell>
          <cell r="T6" t="str">
            <v xml:space="preserve"> </v>
          </cell>
          <cell r="U6">
            <v>1465</v>
          </cell>
          <cell r="V6">
            <v>182</v>
          </cell>
          <cell r="W6">
            <v>56.346153846153847</v>
          </cell>
          <cell r="X6">
            <v>40.96153846153846</v>
          </cell>
          <cell r="Y6">
            <v>17</v>
          </cell>
          <cell r="Z6">
            <v>0</v>
          </cell>
          <cell r="AA6">
            <v>190</v>
          </cell>
          <cell r="AB6">
            <v>546</v>
          </cell>
          <cell r="AC6" t="str">
            <v>wly(lower-20</v>
          </cell>
          <cell r="AD6" t="str">
            <v>Overstock</v>
          </cell>
        </row>
        <row r="7">
          <cell r="A7" t="str">
            <v>US08</v>
          </cell>
          <cell r="B7" t="str">
            <v>CO-SCA-Bakersfield</v>
          </cell>
          <cell r="C7" t="str">
            <v>CA</v>
          </cell>
          <cell r="D7" t="str">
            <v>B</v>
          </cell>
          <cell r="E7">
            <v>5</v>
          </cell>
          <cell r="F7">
            <v>1</v>
          </cell>
          <cell r="G7">
            <v>3200</v>
          </cell>
          <cell r="H7">
            <v>200</v>
          </cell>
          <cell r="I7">
            <v>0.9</v>
          </cell>
          <cell r="J7">
            <v>3210</v>
          </cell>
          <cell r="K7">
            <v>204</v>
          </cell>
          <cell r="L7">
            <v>110.14705882352942</v>
          </cell>
          <cell r="M7">
            <v>11.323529411764707</v>
          </cell>
          <cell r="N7">
            <v>17</v>
          </cell>
          <cell r="O7">
            <v>485.42857142857156</v>
          </cell>
          <cell r="P7">
            <v>300</v>
          </cell>
          <cell r="Q7" t="str">
            <v xml:space="preserve"> wly sale(upper</v>
          </cell>
          <cell r="R7">
            <v>612</v>
          </cell>
          <cell r="S7" t="str">
            <v>Reg Replen</v>
          </cell>
          <cell r="T7" t="str">
            <v xml:space="preserve"> </v>
          </cell>
          <cell r="U7">
            <v>454</v>
          </cell>
          <cell r="V7">
            <v>49</v>
          </cell>
          <cell r="W7">
            <v>64.857142857142861</v>
          </cell>
          <cell r="X7">
            <v>39.142857142857146</v>
          </cell>
          <cell r="Y7">
            <v>17</v>
          </cell>
          <cell r="Z7">
            <v>0</v>
          </cell>
          <cell r="AA7">
            <v>50</v>
          </cell>
          <cell r="AB7">
            <v>147</v>
          </cell>
          <cell r="AC7" t="str">
            <v>wly(lower-20</v>
          </cell>
          <cell r="AD7" t="str">
            <v>Overstock</v>
          </cell>
        </row>
        <row r="8">
          <cell r="A8" t="str">
            <v>US09</v>
          </cell>
          <cell r="B8" t="str">
            <v>CO-SCA-Riverside</v>
          </cell>
          <cell r="C8" t="str">
            <v>CA</v>
          </cell>
          <cell r="D8" t="str">
            <v>C</v>
          </cell>
          <cell r="E8">
            <v>2</v>
          </cell>
          <cell r="F8">
            <v>0</v>
          </cell>
          <cell r="G8">
            <v>800</v>
          </cell>
          <cell r="H8">
            <v>200</v>
          </cell>
          <cell r="I8">
            <v>0.9</v>
          </cell>
          <cell r="J8">
            <v>1687</v>
          </cell>
          <cell r="K8">
            <v>174</v>
          </cell>
          <cell r="L8">
            <v>67.867816091954026</v>
          </cell>
          <cell r="M8">
            <v>38.902298850574709</v>
          </cell>
          <cell r="N8">
            <v>17</v>
          </cell>
          <cell r="O8">
            <v>0</v>
          </cell>
          <cell r="P8">
            <v>180</v>
          </cell>
          <cell r="Q8" t="str">
            <v xml:space="preserve"> wly sale(lower</v>
          </cell>
          <cell r="R8">
            <v>522</v>
          </cell>
          <cell r="S8" t="str">
            <v>Overstock</v>
          </cell>
          <cell r="T8" t="str">
            <v xml:space="preserve"> </v>
          </cell>
          <cell r="U8">
            <v>478</v>
          </cell>
          <cell r="V8">
            <v>97</v>
          </cell>
          <cell r="W8">
            <v>34.494845360824741</v>
          </cell>
          <cell r="X8">
            <v>21.505154639175256</v>
          </cell>
          <cell r="Y8">
            <v>17</v>
          </cell>
          <cell r="Z8">
            <v>0</v>
          </cell>
          <cell r="AA8">
            <v>100</v>
          </cell>
          <cell r="AB8">
            <v>291</v>
          </cell>
          <cell r="AC8" t="str">
            <v>wly(lower</v>
          </cell>
          <cell r="AD8" t="str">
            <v>Reg Replen</v>
          </cell>
        </row>
        <row r="9">
          <cell r="A9" t="str">
            <v>US10</v>
          </cell>
          <cell r="B9" t="str">
            <v>CO-SCA-Hollywood</v>
          </cell>
          <cell r="C9" t="str">
            <v>CA</v>
          </cell>
          <cell r="D9" t="str">
            <v>A</v>
          </cell>
          <cell r="E9">
            <v>3</v>
          </cell>
          <cell r="F9">
            <v>2</v>
          </cell>
          <cell r="G9">
            <v>3600</v>
          </cell>
          <cell r="H9">
            <v>400</v>
          </cell>
          <cell r="I9">
            <v>1</v>
          </cell>
          <cell r="J9">
            <v>5501</v>
          </cell>
          <cell r="K9">
            <v>511</v>
          </cell>
          <cell r="L9">
            <v>75.356164383561648</v>
          </cell>
          <cell r="M9">
            <v>26.041095890410958</v>
          </cell>
          <cell r="N9">
            <v>17</v>
          </cell>
          <cell r="O9">
            <v>0</v>
          </cell>
          <cell r="P9">
            <v>600</v>
          </cell>
          <cell r="Q9" t="str">
            <v xml:space="preserve"> wly sale(upper</v>
          </cell>
          <cell r="R9">
            <v>1533</v>
          </cell>
          <cell r="S9" t="str">
            <v>Reg Replen</v>
          </cell>
          <cell r="T9" t="str">
            <v xml:space="preserve"> </v>
          </cell>
          <cell r="U9">
            <v>2343</v>
          </cell>
          <cell r="V9">
            <v>227</v>
          </cell>
          <cell r="W9">
            <v>72.251101321585892</v>
          </cell>
          <cell r="X9">
            <v>59.916299559471362</v>
          </cell>
          <cell r="Y9">
            <v>17</v>
          </cell>
          <cell r="Z9">
            <v>0</v>
          </cell>
          <cell r="AA9">
            <v>200</v>
          </cell>
          <cell r="AB9">
            <v>681</v>
          </cell>
          <cell r="AC9" t="str">
            <v>wly(lower-20</v>
          </cell>
          <cell r="AD9" t="str">
            <v>Overstock</v>
          </cell>
        </row>
        <row r="10">
          <cell r="A10" t="str">
            <v>US11</v>
          </cell>
          <cell r="B10" t="str">
            <v>CO-SCA-7 Covina</v>
          </cell>
          <cell r="C10" t="str">
            <v>CA</v>
          </cell>
          <cell r="D10" t="str">
            <v>B</v>
          </cell>
          <cell r="E10">
            <v>2</v>
          </cell>
          <cell r="F10">
            <v>0</v>
          </cell>
          <cell r="G10">
            <v>800</v>
          </cell>
          <cell r="H10">
            <v>400</v>
          </cell>
          <cell r="I10">
            <v>0.9</v>
          </cell>
          <cell r="J10">
            <v>1959</v>
          </cell>
          <cell r="K10">
            <v>221</v>
          </cell>
          <cell r="L10">
            <v>62.049773755656105</v>
          </cell>
          <cell r="M10">
            <v>39.244343891402714</v>
          </cell>
          <cell r="N10">
            <v>17</v>
          </cell>
          <cell r="O10">
            <v>0</v>
          </cell>
          <cell r="P10">
            <v>230</v>
          </cell>
          <cell r="Q10" t="str">
            <v xml:space="preserve"> wly sale(lower</v>
          </cell>
          <cell r="R10">
            <v>663</v>
          </cell>
          <cell r="S10" t="str">
            <v>Overstock</v>
          </cell>
          <cell r="T10" t="str">
            <v xml:space="preserve"> </v>
          </cell>
          <cell r="U10">
            <v>307</v>
          </cell>
          <cell r="V10">
            <v>134</v>
          </cell>
          <cell r="W10">
            <v>16.03731343283582</v>
          </cell>
          <cell r="X10">
            <v>-2.7686567164179103</v>
          </cell>
          <cell r="Y10">
            <v>17</v>
          </cell>
          <cell r="Z10">
            <v>418.42857142857144</v>
          </cell>
          <cell r="AA10">
            <v>190</v>
          </cell>
          <cell r="AB10">
            <v>402</v>
          </cell>
          <cell r="AC10" t="str">
            <v>wly(upper</v>
          </cell>
          <cell r="AD10" t="str">
            <v>Understock</v>
          </cell>
        </row>
        <row r="11">
          <cell r="A11" t="str">
            <v>US13</v>
          </cell>
          <cell r="B11" t="str">
            <v>CO-NCA-Stonestown</v>
          </cell>
          <cell r="C11" t="str">
            <v>CA</v>
          </cell>
          <cell r="D11" t="str">
            <v>A</v>
          </cell>
          <cell r="E11">
            <v>5</v>
          </cell>
          <cell r="F11">
            <v>1</v>
          </cell>
          <cell r="G11">
            <v>3200</v>
          </cell>
          <cell r="H11">
            <v>400</v>
          </cell>
          <cell r="I11">
            <v>1</v>
          </cell>
          <cell r="J11">
            <v>3031</v>
          </cell>
          <cell r="K11">
            <v>442</v>
          </cell>
          <cell r="L11">
            <v>48.002262443438909</v>
          </cell>
          <cell r="M11">
            <v>-2.6764705882352939</v>
          </cell>
          <cell r="N11">
            <v>17</v>
          </cell>
          <cell r="O11">
            <v>1242.4285714285716</v>
          </cell>
          <cell r="P11">
            <v>500</v>
          </cell>
          <cell r="Q11" t="str">
            <v xml:space="preserve"> wly sale(upper</v>
          </cell>
          <cell r="R11">
            <v>1326</v>
          </cell>
          <cell r="S11" t="str">
            <v>Understock</v>
          </cell>
          <cell r="T11" t="str">
            <v>Decrease Display</v>
          </cell>
          <cell r="U11">
            <v>353</v>
          </cell>
          <cell r="V11">
            <v>28</v>
          </cell>
          <cell r="W11">
            <v>88.25</v>
          </cell>
          <cell r="X11">
            <v>-11.75</v>
          </cell>
          <cell r="Y11">
            <v>17</v>
          </cell>
          <cell r="Z11">
            <v>115</v>
          </cell>
          <cell r="AA11">
            <v>50</v>
          </cell>
          <cell r="AB11">
            <v>84</v>
          </cell>
          <cell r="AC11" t="str">
            <v>wly+30</v>
          </cell>
          <cell r="AD11" t="str">
            <v>Understock</v>
          </cell>
        </row>
        <row r="12">
          <cell r="A12" t="str">
            <v>US15</v>
          </cell>
          <cell r="B12" t="str">
            <v>CO-SCA-Torrance</v>
          </cell>
          <cell r="C12" t="str">
            <v>CA</v>
          </cell>
          <cell r="D12" t="str">
            <v>A</v>
          </cell>
          <cell r="E12">
            <v>3</v>
          </cell>
          <cell r="F12">
            <v>2</v>
          </cell>
          <cell r="G12">
            <v>3600</v>
          </cell>
          <cell r="H12">
            <v>400</v>
          </cell>
          <cell r="I12">
            <v>1</v>
          </cell>
          <cell r="J12">
            <v>5231</v>
          </cell>
          <cell r="K12">
            <v>592</v>
          </cell>
          <cell r="L12">
            <v>61.85304054054054</v>
          </cell>
          <cell r="M12">
            <v>19.285472972972972</v>
          </cell>
          <cell r="N12">
            <v>17</v>
          </cell>
          <cell r="O12">
            <v>0</v>
          </cell>
          <cell r="P12">
            <v>600</v>
          </cell>
          <cell r="Q12" t="str">
            <v xml:space="preserve"> wly sale(upper</v>
          </cell>
          <cell r="R12">
            <v>1776</v>
          </cell>
          <cell r="S12" t="str">
            <v>Reg Replen</v>
          </cell>
          <cell r="T12" t="str">
            <v xml:space="preserve"> </v>
          </cell>
          <cell r="U12">
            <v>1272</v>
          </cell>
          <cell r="V12">
            <v>255</v>
          </cell>
          <cell r="W12">
            <v>34.917647058823526</v>
          </cell>
          <cell r="X12">
            <v>23.937254901960785</v>
          </cell>
          <cell r="Y12">
            <v>17</v>
          </cell>
          <cell r="Z12">
            <v>0</v>
          </cell>
          <cell r="AA12">
            <v>260</v>
          </cell>
          <cell r="AB12">
            <v>765</v>
          </cell>
          <cell r="AC12" t="str">
            <v>wly(lower</v>
          </cell>
          <cell r="AD12" t="str">
            <v>Reg Replen</v>
          </cell>
        </row>
        <row r="13">
          <cell r="A13" t="str">
            <v>US16</v>
          </cell>
          <cell r="B13" t="str">
            <v>CO-SCA-Culver City</v>
          </cell>
          <cell r="C13" t="str">
            <v>CA</v>
          </cell>
          <cell r="D13" t="str">
            <v>B</v>
          </cell>
          <cell r="E13">
            <v>3</v>
          </cell>
          <cell r="F13">
            <v>0</v>
          </cell>
          <cell r="G13">
            <v>1200</v>
          </cell>
          <cell r="H13">
            <v>400</v>
          </cell>
          <cell r="I13">
            <v>0.95</v>
          </cell>
          <cell r="J13">
            <v>2411</v>
          </cell>
          <cell r="K13">
            <v>332</v>
          </cell>
          <cell r="L13">
            <v>50.834337349397586</v>
          </cell>
          <cell r="M13">
            <v>26.798192771084338</v>
          </cell>
          <cell r="N13">
            <v>17</v>
          </cell>
          <cell r="O13">
            <v>0</v>
          </cell>
          <cell r="P13">
            <v>400</v>
          </cell>
          <cell r="Q13" t="str">
            <v xml:space="preserve"> wly sale(upper</v>
          </cell>
          <cell r="R13">
            <v>996</v>
          </cell>
          <cell r="S13" t="str">
            <v>Reg Replen</v>
          </cell>
          <cell r="T13" t="str">
            <v xml:space="preserve"> </v>
          </cell>
          <cell r="U13">
            <v>378</v>
          </cell>
          <cell r="V13">
            <v>126</v>
          </cell>
          <cell r="W13">
            <v>21</v>
          </cell>
          <cell r="X13">
            <v>-0.1111111111111111</v>
          </cell>
          <cell r="Y13">
            <v>17</v>
          </cell>
          <cell r="Z13">
            <v>328</v>
          </cell>
          <cell r="AA13">
            <v>180</v>
          </cell>
          <cell r="AB13">
            <v>378</v>
          </cell>
          <cell r="AC13" t="str">
            <v>wly(upper</v>
          </cell>
          <cell r="AD13" t="str">
            <v>Understock</v>
          </cell>
        </row>
        <row r="14">
          <cell r="A14" t="str">
            <v>US17</v>
          </cell>
          <cell r="B14" t="str">
            <v>CO-SCA-Escondido</v>
          </cell>
          <cell r="C14" t="str">
            <v>CA</v>
          </cell>
          <cell r="D14" t="str">
            <v>B</v>
          </cell>
          <cell r="E14">
            <v>3</v>
          </cell>
          <cell r="F14">
            <v>0</v>
          </cell>
          <cell r="G14">
            <v>1200</v>
          </cell>
          <cell r="H14">
            <v>200</v>
          </cell>
          <cell r="I14">
            <v>0.9</v>
          </cell>
          <cell r="J14">
            <v>2099</v>
          </cell>
          <cell r="K14">
            <v>192</v>
          </cell>
          <cell r="L14">
            <v>76.526041666666671</v>
          </cell>
          <cell r="M14">
            <v>37.151041666666671</v>
          </cell>
          <cell r="N14">
            <v>17</v>
          </cell>
          <cell r="O14">
            <v>0</v>
          </cell>
          <cell r="P14">
            <v>200</v>
          </cell>
          <cell r="Q14" t="str">
            <v xml:space="preserve"> wly sale(lower</v>
          </cell>
          <cell r="R14">
            <v>576</v>
          </cell>
          <cell r="S14" t="str">
            <v>Overstock</v>
          </cell>
          <cell r="T14" t="str">
            <v xml:space="preserve"> </v>
          </cell>
          <cell r="U14">
            <v>419</v>
          </cell>
          <cell r="V14">
            <v>124</v>
          </cell>
          <cell r="W14">
            <v>23.653225806451612</v>
          </cell>
          <cell r="X14">
            <v>13.491935483870966</v>
          </cell>
          <cell r="Y14">
            <v>17</v>
          </cell>
          <cell r="Z14">
            <v>82.142857142857167</v>
          </cell>
          <cell r="AA14">
            <v>150</v>
          </cell>
          <cell r="AB14">
            <v>372</v>
          </cell>
          <cell r="AC14" t="str">
            <v>wly(lower</v>
          </cell>
          <cell r="AD14" t="str">
            <v>Reg Replen</v>
          </cell>
        </row>
        <row r="15">
          <cell r="A15" t="str">
            <v>US18</v>
          </cell>
          <cell r="B15" t="str">
            <v>CO-SCA-Palm Desert</v>
          </cell>
          <cell r="C15" t="str">
            <v>CA</v>
          </cell>
          <cell r="D15" t="str">
            <v>C</v>
          </cell>
          <cell r="E15">
            <v>2</v>
          </cell>
          <cell r="F15">
            <v>0</v>
          </cell>
          <cell r="G15">
            <v>800</v>
          </cell>
          <cell r="H15">
            <v>200</v>
          </cell>
          <cell r="I15">
            <v>0.9</v>
          </cell>
          <cell r="J15">
            <v>1706</v>
          </cell>
          <cell r="K15">
            <v>181</v>
          </cell>
          <cell r="L15">
            <v>65.97790055248619</v>
          </cell>
          <cell r="M15">
            <v>38.132596685082873</v>
          </cell>
          <cell r="N15">
            <v>17</v>
          </cell>
          <cell r="O15">
            <v>0</v>
          </cell>
          <cell r="P15">
            <v>190</v>
          </cell>
          <cell r="Q15" t="str">
            <v xml:space="preserve"> wly sale(lower</v>
          </cell>
          <cell r="R15">
            <v>543</v>
          </cell>
          <cell r="S15" t="str">
            <v>Overstock</v>
          </cell>
          <cell r="T15" t="str">
            <v xml:space="preserve"> </v>
          </cell>
          <cell r="U15">
            <v>258</v>
          </cell>
          <cell r="V15">
            <v>103</v>
          </cell>
          <cell r="W15">
            <v>17.533980582524272</v>
          </cell>
          <cell r="X15">
            <v>5.3009708737864081</v>
          </cell>
          <cell r="Y15">
            <v>17</v>
          </cell>
          <cell r="Z15">
            <v>192.14285714285711</v>
          </cell>
          <cell r="AA15">
            <v>160</v>
          </cell>
          <cell r="AB15">
            <v>309</v>
          </cell>
          <cell r="AC15" t="str">
            <v>wly(lower</v>
          </cell>
          <cell r="AD15" t="str">
            <v>Understock</v>
          </cell>
        </row>
        <row r="16">
          <cell r="A16" t="str">
            <v>US19</v>
          </cell>
          <cell r="B16" t="str">
            <v>CO-SCA-Irvine</v>
          </cell>
          <cell r="C16" t="str">
            <v>CA</v>
          </cell>
          <cell r="D16" t="str">
            <v>A</v>
          </cell>
          <cell r="E16">
            <v>6</v>
          </cell>
          <cell r="F16">
            <v>1</v>
          </cell>
          <cell r="G16">
            <v>3600</v>
          </cell>
          <cell r="H16">
            <v>400</v>
          </cell>
          <cell r="I16">
            <v>1</v>
          </cell>
          <cell r="J16">
            <v>5810</v>
          </cell>
          <cell r="K16">
            <v>821</v>
          </cell>
          <cell r="L16">
            <v>49.537149817295976</v>
          </cell>
          <cell r="M16">
            <v>18.842874543239951</v>
          </cell>
          <cell r="N16">
            <v>17</v>
          </cell>
          <cell r="O16">
            <v>0</v>
          </cell>
          <cell r="P16">
            <v>900</v>
          </cell>
          <cell r="Q16" t="str">
            <v xml:space="preserve"> wly sale(upper</v>
          </cell>
          <cell r="R16">
            <v>2463</v>
          </cell>
          <cell r="S16" t="str">
            <v>Reg Replen</v>
          </cell>
          <cell r="T16" t="str">
            <v xml:space="preserve"> </v>
          </cell>
          <cell r="U16">
            <v>2348</v>
          </cell>
          <cell r="V16">
            <v>234</v>
          </cell>
          <cell r="W16">
            <v>70.239316239316238</v>
          </cell>
          <cell r="X16">
            <v>58.273504273504273</v>
          </cell>
          <cell r="Y16">
            <v>17</v>
          </cell>
          <cell r="Z16">
            <v>0</v>
          </cell>
          <cell r="AA16">
            <v>210</v>
          </cell>
          <cell r="AB16">
            <v>702</v>
          </cell>
          <cell r="AC16" t="str">
            <v>wly(lower-20</v>
          </cell>
          <cell r="AD16" t="str">
            <v>Overstock</v>
          </cell>
        </row>
        <row r="17">
          <cell r="A17" t="str">
            <v>US20</v>
          </cell>
          <cell r="B17" t="str">
            <v>CO-SCA-Cerritos</v>
          </cell>
          <cell r="C17" t="str">
            <v>CA</v>
          </cell>
          <cell r="D17" t="str">
            <v>A</v>
          </cell>
          <cell r="E17">
            <v>4</v>
          </cell>
          <cell r="F17">
            <v>1</v>
          </cell>
          <cell r="G17">
            <v>2800</v>
          </cell>
          <cell r="H17">
            <v>400</v>
          </cell>
          <cell r="I17">
            <v>1</v>
          </cell>
          <cell r="J17">
            <v>4923</v>
          </cell>
          <cell r="K17">
            <v>587</v>
          </cell>
          <cell r="L17">
            <v>58.706984667802381</v>
          </cell>
          <cell r="M17">
            <v>25.316865417376491</v>
          </cell>
          <cell r="N17">
            <v>17</v>
          </cell>
          <cell r="O17">
            <v>0</v>
          </cell>
          <cell r="P17">
            <v>600</v>
          </cell>
          <cell r="Q17" t="str">
            <v xml:space="preserve"> wly sale(upper</v>
          </cell>
          <cell r="R17">
            <v>1761</v>
          </cell>
          <cell r="S17" t="str">
            <v>Reg Replen</v>
          </cell>
          <cell r="T17" t="str">
            <v xml:space="preserve"> </v>
          </cell>
          <cell r="U17">
            <v>936</v>
          </cell>
          <cell r="V17">
            <v>285</v>
          </cell>
          <cell r="W17">
            <v>22.989473684210527</v>
          </cell>
          <cell r="X17">
            <v>13.164912280701754</v>
          </cell>
          <cell r="Y17">
            <v>17</v>
          </cell>
          <cell r="Z17">
            <v>156.14285714285711</v>
          </cell>
          <cell r="AA17">
            <v>310</v>
          </cell>
          <cell r="AB17">
            <v>855</v>
          </cell>
          <cell r="AC17" t="str">
            <v>wly(lower</v>
          </cell>
          <cell r="AD17" t="str">
            <v>Reg Replen</v>
          </cell>
        </row>
        <row r="18">
          <cell r="A18" t="str">
            <v>US21</v>
          </cell>
          <cell r="B18" t="str">
            <v>CO-SCA-National City</v>
          </cell>
          <cell r="C18" t="str">
            <v>CA</v>
          </cell>
          <cell r="D18" t="str">
            <v>A</v>
          </cell>
          <cell r="E18">
            <v>4</v>
          </cell>
          <cell r="F18">
            <v>1</v>
          </cell>
          <cell r="G18">
            <v>2800</v>
          </cell>
          <cell r="H18">
            <v>400</v>
          </cell>
          <cell r="I18">
            <v>1</v>
          </cell>
          <cell r="J18">
            <v>2408</v>
          </cell>
          <cell r="K18">
            <v>303</v>
          </cell>
          <cell r="L18">
            <v>55.630363036303635</v>
          </cell>
          <cell r="M18">
            <v>-9.0561056105610565</v>
          </cell>
          <cell r="N18">
            <v>17</v>
          </cell>
          <cell r="O18">
            <v>1127.8571428571431</v>
          </cell>
          <cell r="P18">
            <v>450</v>
          </cell>
          <cell r="Q18" t="str">
            <v xml:space="preserve"> wly sale+50</v>
          </cell>
          <cell r="R18">
            <v>909</v>
          </cell>
          <cell r="S18" t="str">
            <v>Understock</v>
          </cell>
          <cell r="T18" t="str">
            <v>Decrease Display</v>
          </cell>
          <cell r="U18">
            <v>668</v>
          </cell>
          <cell r="V18">
            <v>139</v>
          </cell>
          <cell r="W18">
            <v>33.640287769784173</v>
          </cell>
          <cell r="X18">
            <v>13.496402877697841</v>
          </cell>
          <cell r="Y18">
            <v>17</v>
          </cell>
          <cell r="Z18">
            <v>69.571428571428555</v>
          </cell>
          <cell r="AA18">
            <v>160</v>
          </cell>
          <cell r="AB18">
            <v>417</v>
          </cell>
          <cell r="AC18" t="str">
            <v>wly(lower</v>
          </cell>
          <cell r="AD18" t="str">
            <v>Reg Replen</v>
          </cell>
        </row>
        <row r="19">
          <cell r="A19" t="str">
            <v>US22</v>
          </cell>
          <cell r="B19" t="str">
            <v>CO-SCA-Topanga</v>
          </cell>
          <cell r="C19" t="str">
            <v>CA</v>
          </cell>
          <cell r="D19" t="str">
            <v>B</v>
          </cell>
          <cell r="E19">
            <v>2</v>
          </cell>
          <cell r="F19">
            <v>0</v>
          </cell>
          <cell r="G19">
            <v>800</v>
          </cell>
          <cell r="H19">
            <v>400</v>
          </cell>
          <cell r="I19">
            <v>0.9</v>
          </cell>
          <cell r="J19">
            <v>2159</v>
          </cell>
          <cell r="K19">
            <v>282</v>
          </cell>
          <cell r="L19">
            <v>53.592198581560282</v>
          </cell>
          <cell r="M19">
            <v>35.719858156028373</v>
          </cell>
          <cell r="N19">
            <v>17</v>
          </cell>
          <cell r="O19">
            <v>0</v>
          </cell>
          <cell r="P19">
            <v>290</v>
          </cell>
          <cell r="Q19" t="str">
            <v xml:space="preserve"> wly sale(lower</v>
          </cell>
          <cell r="R19">
            <v>846</v>
          </cell>
          <cell r="S19" t="str">
            <v>Overstock</v>
          </cell>
          <cell r="T19" t="str">
            <v xml:space="preserve"> </v>
          </cell>
          <cell r="U19">
            <v>420</v>
          </cell>
          <cell r="V19">
            <v>87</v>
          </cell>
          <cell r="W19">
            <v>33.793103448275865</v>
          </cell>
          <cell r="X19">
            <v>4.8275862068965516</v>
          </cell>
          <cell r="Y19">
            <v>17</v>
          </cell>
          <cell r="Z19">
            <v>191.28571428571422</v>
          </cell>
          <cell r="AA19">
            <v>140</v>
          </cell>
          <cell r="AB19">
            <v>261</v>
          </cell>
          <cell r="AC19" t="str">
            <v>wly(lower</v>
          </cell>
          <cell r="AD19" t="str">
            <v>Understock</v>
          </cell>
        </row>
        <row r="20">
          <cell r="A20" t="str">
            <v>US23</v>
          </cell>
          <cell r="B20" t="str">
            <v>CO-SCA-Sherman Oaks</v>
          </cell>
          <cell r="C20" t="str">
            <v>CA</v>
          </cell>
          <cell r="D20" t="str">
            <v>A</v>
          </cell>
          <cell r="E20">
            <v>5</v>
          </cell>
          <cell r="F20">
            <v>1</v>
          </cell>
          <cell r="G20">
            <v>3200</v>
          </cell>
          <cell r="H20">
            <v>400</v>
          </cell>
          <cell r="I20">
            <v>1</v>
          </cell>
          <cell r="J20">
            <v>3367</v>
          </cell>
          <cell r="K20">
            <v>330</v>
          </cell>
          <cell r="L20">
            <v>71.421212121212122</v>
          </cell>
          <cell r="M20">
            <v>3.542424242424242</v>
          </cell>
          <cell r="N20">
            <v>17</v>
          </cell>
          <cell r="O20">
            <v>634.42857142857156</v>
          </cell>
          <cell r="P20">
            <v>400</v>
          </cell>
          <cell r="Q20" t="str">
            <v xml:space="preserve"> wly sale(upper</v>
          </cell>
          <cell r="R20">
            <v>990</v>
          </cell>
          <cell r="S20" t="str">
            <v>Understock</v>
          </cell>
          <cell r="T20" t="str">
            <v>Decrease Display</v>
          </cell>
          <cell r="U20">
            <v>752</v>
          </cell>
          <cell r="V20">
            <v>100</v>
          </cell>
          <cell r="W20">
            <v>52.64</v>
          </cell>
          <cell r="X20">
            <v>24.639999999999997</v>
          </cell>
          <cell r="Y20">
            <v>17</v>
          </cell>
          <cell r="Z20">
            <v>0</v>
          </cell>
          <cell r="AA20">
            <v>100</v>
          </cell>
          <cell r="AB20">
            <v>300</v>
          </cell>
          <cell r="AC20" t="str">
            <v>wly(lower</v>
          </cell>
          <cell r="AD20" t="str">
            <v>Reg Replen</v>
          </cell>
        </row>
        <row r="21">
          <cell r="A21" t="str">
            <v>US24</v>
          </cell>
          <cell r="B21" t="str">
            <v>CO-SCA-Valencia</v>
          </cell>
          <cell r="C21" t="str">
            <v>CA</v>
          </cell>
          <cell r="D21" t="str">
            <v>C</v>
          </cell>
          <cell r="E21">
            <v>2</v>
          </cell>
          <cell r="F21">
            <v>0</v>
          </cell>
          <cell r="G21">
            <v>800</v>
          </cell>
          <cell r="H21">
            <v>400</v>
          </cell>
          <cell r="I21">
            <v>0.95</v>
          </cell>
          <cell r="J21">
            <v>1740</v>
          </cell>
          <cell r="K21">
            <v>140</v>
          </cell>
          <cell r="L21">
            <v>87</v>
          </cell>
          <cell r="M21">
            <v>49</v>
          </cell>
          <cell r="N21">
            <v>17</v>
          </cell>
          <cell r="O21">
            <v>0</v>
          </cell>
          <cell r="P21">
            <v>140</v>
          </cell>
          <cell r="Q21" t="str">
            <v xml:space="preserve"> wly sale(lower</v>
          </cell>
          <cell r="R21">
            <v>420</v>
          </cell>
          <cell r="S21" t="str">
            <v>Overstock</v>
          </cell>
          <cell r="T21" t="str">
            <v xml:space="preserve"> </v>
          </cell>
          <cell r="U21">
            <v>445</v>
          </cell>
          <cell r="V21">
            <v>68</v>
          </cell>
          <cell r="W21">
            <v>45.808823529411768</v>
          </cell>
          <cell r="X21">
            <v>6.6911764705882355</v>
          </cell>
          <cell r="Y21">
            <v>17</v>
          </cell>
          <cell r="Z21">
            <v>120.14285714285711</v>
          </cell>
          <cell r="AA21">
            <v>90</v>
          </cell>
          <cell r="AB21">
            <v>204</v>
          </cell>
          <cell r="AC21" t="str">
            <v>wly(lower</v>
          </cell>
          <cell r="AD21" t="str">
            <v>Understock</v>
          </cell>
        </row>
        <row r="22">
          <cell r="A22" t="str">
            <v>US25</v>
          </cell>
          <cell r="B22" t="str">
            <v>CO-NCA-Fairfield</v>
          </cell>
          <cell r="C22" t="str">
            <v>CA</v>
          </cell>
          <cell r="D22" t="str">
            <v>B</v>
          </cell>
          <cell r="E22">
            <v>3</v>
          </cell>
          <cell r="F22">
            <v>0</v>
          </cell>
          <cell r="G22">
            <v>1200</v>
          </cell>
          <cell r="H22">
            <v>400</v>
          </cell>
          <cell r="I22">
            <v>0.95</v>
          </cell>
          <cell r="J22">
            <v>1907</v>
          </cell>
          <cell r="K22">
            <v>201</v>
          </cell>
          <cell r="L22">
            <v>66.412935323383081</v>
          </cell>
          <cell r="M22">
            <v>26.71144278606965</v>
          </cell>
          <cell r="N22">
            <v>17</v>
          </cell>
          <cell r="O22">
            <v>0</v>
          </cell>
          <cell r="P22">
            <v>300</v>
          </cell>
          <cell r="Q22" t="str">
            <v xml:space="preserve"> wly sale(upper</v>
          </cell>
          <cell r="R22">
            <v>603</v>
          </cell>
          <cell r="S22" t="str">
            <v>Reg Replen</v>
          </cell>
          <cell r="T22" t="str">
            <v xml:space="preserve"> </v>
          </cell>
          <cell r="U22">
            <v>432</v>
          </cell>
          <cell r="V22">
            <v>76</v>
          </cell>
          <cell r="W22">
            <v>39.789473684210527</v>
          </cell>
          <cell r="X22">
            <v>4.7894736842105257</v>
          </cell>
          <cell r="Y22">
            <v>17</v>
          </cell>
          <cell r="Z22">
            <v>152.57142857142856</v>
          </cell>
          <cell r="AA22">
            <v>130</v>
          </cell>
          <cell r="AB22">
            <v>228</v>
          </cell>
          <cell r="AC22" t="str">
            <v>wly(lower</v>
          </cell>
          <cell r="AD22" t="str">
            <v>Understock</v>
          </cell>
        </row>
        <row r="23">
          <cell r="A23" t="str">
            <v>US26</v>
          </cell>
          <cell r="B23" t="str">
            <v>CO-NCA-Salinas</v>
          </cell>
          <cell r="C23" t="str">
            <v>CA</v>
          </cell>
          <cell r="D23" t="str">
            <v>B</v>
          </cell>
          <cell r="E23">
            <v>4</v>
          </cell>
          <cell r="F23">
            <v>1</v>
          </cell>
          <cell r="G23">
            <v>2800</v>
          </cell>
          <cell r="H23">
            <v>400</v>
          </cell>
          <cell r="I23">
            <v>0.95</v>
          </cell>
          <cell r="J23">
            <v>2486</v>
          </cell>
          <cell r="K23">
            <v>312</v>
          </cell>
          <cell r="L23">
            <v>55.775641025641029</v>
          </cell>
          <cell r="M23">
            <v>-3.9038461538461542</v>
          </cell>
          <cell r="N23">
            <v>17</v>
          </cell>
          <cell r="O23">
            <v>1071.7142857142858</v>
          </cell>
          <cell r="P23">
            <v>400</v>
          </cell>
          <cell r="Q23" t="str">
            <v xml:space="preserve"> wly sale(upper</v>
          </cell>
          <cell r="R23">
            <v>936</v>
          </cell>
          <cell r="S23" t="str">
            <v>Understock</v>
          </cell>
          <cell r="T23" t="str">
            <v>Decrease Display</v>
          </cell>
          <cell r="U23">
            <v>438</v>
          </cell>
          <cell r="V23">
            <v>129</v>
          </cell>
          <cell r="W23">
            <v>23.767441860465119</v>
          </cell>
          <cell r="X23">
            <v>3.1472868217054266</v>
          </cell>
          <cell r="Y23">
            <v>17</v>
          </cell>
          <cell r="Z23">
            <v>275.28571428571422</v>
          </cell>
          <cell r="AA23">
            <v>180</v>
          </cell>
          <cell r="AB23">
            <v>387</v>
          </cell>
          <cell r="AC23" t="str">
            <v>wly(lower</v>
          </cell>
          <cell r="AD23" t="str">
            <v>Understock</v>
          </cell>
        </row>
        <row r="24">
          <cell r="A24" t="str">
            <v>US27</v>
          </cell>
          <cell r="B24" t="str">
            <v>CO-NCA-Newark</v>
          </cell>
          <cell r="C24" t="str">
            <v>CA</v>
          </cell>
          <cell r="D24" t="str">
            <v>B</v>
          </cell>
          <cell r="E24">
            <v>4</v>
          </cell>
          <cell r="F24">
            <v>1</v>
          </cell>
          <cell r="G24">
            <v>2800</v>
          </cell>
          <cell r="H24">
            <v>400</v>
          </cell>
          <cell r="I24">
            <v>0.9</v>
          </cell>
          <cell r="J24">
            <v>1622</v>
          </cell>
          <cell r="K24">
            <v>170</v>
          </cell>
          <cell r="L24">
            <v>66.788235294117655</v>
          </cell>
          <cell r="M24">
            <v>-36.976470588235294</v>
          </cell>
          <cell r="N24">
            <v>17</v>
          </cell>
          <cell r="O24">
            <v>1590.8571428571427</v>
          </cell>
          <cell r="P24">
            <v>300</v>
          </cell>
          <cell r="Q24" t="str">
            <v xml:space="preserve"> wly sale+100</v>
          </cell>
          <cell r="R24">
            <v>510</v>
          </cell>
          <cell r="S24" t="str">
            <v>S Understock</v>
          </cell>
          <cell r="T24" t="str">
            <v>Decrease Display</v>
          </cell>
          <cell r="U24">
            <v>617</v>
          </cell>
          <cell r="V24">
            <v>83</v>
          </cell>
          <cell r="W24">
            <v>52.036144578313248</v>
          </cell>
          <cell r="X24">
            <v>21.674698795180721</v>
          </cell>
          <cell r="Y24">
            <v>17</v>
          </cell>
          <cell r="Z24">
            <v>0</v>
          </cell>
          <cell r="AA24">
            <v>90</v>
          </cell>
          <cell r="AB24">
            <v>249</v>
          </cell>
          <cell r="AC24" t="str">
            <v>wly(lower</v>
          </cell>
          <cell r="AD24" t="str">
            <v>Reg Replen</v>
          </cell>
        </row>
        <row r="25">
          <cell r="A25" t="str">
            <v>US28</v>
          </cell>
          <cell r="B25" t="str">
            <v>CO-SCA-El Cajon</v>
          </cell>
          <cell r="C25" t="str">
            <v>CA</v>
          </cell>
          <cell r="D25" t="str">
            <v>C</v>
          </cell>
          <cell r="E25">
            <v>3</v>
          </cell>
          <cell r="F25">
            <v>0</v>
          </cell>
          <cell r="G25">
            <v>1200</v>
          </cell>
          <cell r="H25">
            <v>400</v>
          </cell>
          <cell r="I25">
            <v>0.95</v>
          </cell>
          <cell r="J25">
            <v>1951</v>
          </cell>
          <cell r="K25">
            <v>150</v>
          </cell>
          <cell r="L25">
            <v>91.046666666666667</v>
          </cell>
          <cell r="M25">
            <v>37.846666666666671</v>
          </cell>
          <cell r="N25">
            <v>17</v>
          </cell>
          <cell r="O25">
            <v>0</v>
          </cell>
          <cell r="P25">
            <v>150</v>
          </cell>
          <cell r="Q25" t="str">
            <v xml:space="preserve"> wly sale(lower</v>
          </cell>
          <cell r="R25">
            <v>450</v>
          </cell>
          <cell r="S25" t="str">
            <v>Overstock</v>
          </cell>
          <cell r="T25" t="str">
            <v xml:space="preserve"> </v>
          </cell>
          <cell r="U25">
            <v>528</v>
          </cell>
          <cell r="V25">
            <v>87</v>
          </cell>
          <cell r="W25">
            <v>42.482758620689651</v>
          </cell>
          <cell r="X25">
            <v>11.908045977011493</v>
          </cell>
          <cell r="Y25">
            <v>17</v>
          </cell>
          <cell r="Z25">
            <v>83.285714285714221</v>
          </cell>
          <cell r="AA25">
            <v>110</v>
          </cell>
          <cell r="AB25">
            <v>261</v>
          </cell>
          <cell r="AC25" t="str">
            <v>wly(lower</v>
          </cell>
          <cell r="AD25" t="str">
            <v>Reg Replen</v>
          </cell>
        </row>
        <row r="26">
          <cell r="A26" t="str">
            <v>US29</v>
          </cell>
          <cell r="B26" t="str">
            <v>CO-SCA-Chino Hills</v>
          </cell>
          <cell r="C26" t="str">
            <v>CA</v>
          </cell>
          <cell r="D26" t="str">
            <v>B</v>
          </cell>
          <cell r="E26">
            <v>4</v>
          </cell>
          <cell r="F26">
            <v>0</v>
          </cell>
          <cell r="G26">
            <v>1600</v>
          </cell>
          <cell r="H26">
            <v>400</v>
          </cell>
          <cell r="I26">
            <v>0.95</v>
          </cell>
          <cell r="J26">
            <v>2046</v>
          </cell>
          <cell r="K26">
            <v>290</v>
          </cell>
          <cell r="L26">
            <v>49.38620689655172</v>
          </cell>
          <cell r="M26">
            <v>12.69655172413793</v>
          </cell>
          <cell r="N26">
            <v>17</v>
          </cell>
          <cell r="O26">
            <v>258.28571428571422</v>
          </cell>
          <cell r="P26">
            <v>300</v>
          </cell>
          <cell r="Q26" t="str">
            <v xml:space="preserve"> wly sale(upper</v>
          </cell>
          <cell r="R26">
            <v>870</v>
          </cell>
          <cell r="S26" t="str">
            <v>Reg Replen</v>
          </cell>
          <cell r="T26" t="str">
            <v xml:space="preserve"> </v>
          </cell>
          <cell r="U26">
            <v>196</v>
          </cell>
          <cell r="V26">
            <v>141</v>
          </cell>
          <cell r="W26">
            <v>9.7304964539007095</v>
          </cell>
          <cell r="X26">
            <v>-9.1347517730496453</v>
          </cell>
          <cell r="Y26">
            <v>17</v>
          </cell>
          <cell r="Z26">
            <v>546.42857142857144</v>
          </cell>
          <cell r="AA26">
            <v>150</v>
          </cell>
          <cell r="AB26">
            <v>423</v>
          </cell>
          <cell r="AC26" t="str">
            <v>wly+30</v>
          </cell>
          <cell r="AD26" t="str">
            <v>Understock</v>
          </cell>
        </row>
        <row r="27">
          <cell r="A27" t="str">
            <v>US30</v>
          </cell>
          <cell r="B27" t="str">
            <v>CO-NCA-SFC</v>
          </cell>
          <cell r="C27" t="str">
            <v>CA</v>
          </cell>
          <cell r="D27" t="str">
            <v>B</v>
          </cell>
          <cell r="E27">
            <v>3</v>
          </cell>
          <cell r="F27">
            <v>1</v>
          </cell>
          <cell r="G27">
            <v>2400</v>
          </cell>
          <cell r="H27">
            <v>400</v>
          </cell>
          <cell r="I27">
            <v>0.9</v>
          </cell>
          <cell r="J27">
            <v>2759</v>
          </cell>
          <cell r="K27">
            <v>159</v>
          </cell>
          <cell r="L27">
            <v>121.46540880503144</v>
          </cell>
          <cell r="M27">
            <v>26.371069182389935</v>
          </cell>
          <cell r="N27">
            <v>17</v>
          </cell>
          <cell r="O27">
            <v>27.142857142857338</v>
          </cell>
          <cell r="P27">
            <v>200</v>
          </cell>
          <cell r="Q27" t="str">
            <v xml:space="preserve"> wly sale(upper</v>
          </cell>
          <cell r="R27">
            <v>477</v>
          </cell>
          <cell r="S27" t="str">
            <v>Reg Replen</v>
          </cell>
          <cell r="T27" t="str">
            <v xml:space="preserve"> </v>
          </cell>
          <cell r="U27">
            <v>224</v>
          </cell>
          <cell r="V27">
            <v>13</v>
          </cell>
          <cell r="W27">
            <v>120.61538461538461</v>
          </cell>
          <cell r="X27">
            <v>-73.230769230769226</v>
          </cell>
          <cell r="Y27">
            <v>17</v>
          </cell>
          <cell r="Z27">
            <v>207.57142857142856</v>
          </cell>
          <cell r="AA27">
            <v>50</v>
          </cell>
          <cell r="AB27">
            <v>39</v>
          </cell>
          <cell r="AC27" t="str">
            <v>wly</v>
          </cell>
          <cell r="AD27" t="str">
            <v>S Understock</v>
          </cell>
        </row>
        <row r="28">
          <cell r="A28" t="str">
            <v>US34</v>
          </cell>
          <cell r="B28" t="str">
            <v>CO-SCA-Mission Viejo</v>
          </cell>
          <cell r="C28" t="str">
            <v>CA</v>
          </cell>
          <cell r="D28" t="str">
            <v>C</v>
          </cell>
          <cell r="E28">
            <v>6</v>
          </cell>
          <cell r="F28">
            <v>0</v>
          </cell>
          <cell r="G28">
            <v>2400</v>
          </cell>
          <cell r="H28">
            <v>400</v>
          </cell>
          <cell r="I28">
            <v>0.9</v>
          </cell>
          <cell r="J28">
            <v>2641</v>
          </cell>
          <cell r="K28">
            <v>172</v>
          </cell>
          <cell r="L28">
            <v>107.48255813953487</v>
          </cell>
          <cell r="M28">
            <v>19.575581395348834</v>
          </cell>
          <cell r="N28">
            <v>24</v>
          </cell>
          <cell r="O28">
            <v>348.71428571428578</v>
          </cell>
          <cell r="P28">
            <v>200</v>
          </cell>
          <cell r="Q28" t="str">
            <v xml:space="preserve"> wly sale(upper</v>
          </cell>
          <cell r="R28">
            <v>516</v>
          </cell>
          <cell r="S28" t="str">
            <v>Reg Replen</v>
          </cell>
          <cell r="T28" t="str">
            <v xml:space="preserve"> </v>
          </cell>
          <cell r="U28">
            <v>608</v>
          </cell>
          <cell r="V28">
            <v>70</v>
          </cell>
          <cell r="W28">
            <v>60.8</v>
          </cell>
          <cell r="X28">
            <v>24.8</v>
          </cell>
          <cell r="Y28">
            <v>24</v>
          </cell>
          <cell r="Z28">
            <v>32</v>
          </cell>
          <cell r="AA28">
            <v>70</v>
          </cell>
          <cell r="AB28">
            <v>210</v>
          </cell>
          <cell r="AC28" t="str">
            <v>wly(lower</v>
          </cell>
          <cell r="AD28" t="str">
            <v>Reg Replen</v>
          </cell>
        </row>
        <row r="29">
          <cell r="A29" t="str">
            <v>US35</v>
          </cell>
          <cell r="B29" t="str">
            <v>FR-FL-Sand Lake</v>
          </cell>
          <cell r="C29" t="str">
            <v>FL</v>
          </cell>
          <cell r="D29" t="str">
            <v>C</v>
          </cell>
          <cell r="E29">
            <v>2</v>
          </cell>
          <cell r="F29">
            <v>0</v>
          </cell>
          <cell r="G29">
            <v>800</v>
          </cell>
          <cell r="H29">
            <v>400</v>
          </cell>
          <cell r="I29">
            <v>0.9</v>
          </cell>
          <cell r="J29">
            <v>3599</v>
          </cell>
          <cell r="K29">
            <v>169</v>
          </cell>
          <cell r="L29">
            <v>149.07100591715977</v>
          </cell>
          <cell r="M29">
            <v>119.24852071005917</v>
          </cell>
          <cell r="N29">
            <v>17</v>
          </cell>
          <cell r="O29">
            <v>0</v>
          </cell>
          <cell r="P29">
            <v>120</v>
          </cell>
          <cell r="Q29" t="str">
            <v xml:space="preserve"> wly sale(lower-50</v>
          </cell>
          <cell r="R29">
            <v>507</v>
          </cell>
          <cell r="S29" t="str">
            <v>Overstock</v>
          </cell>
          <cell r="T29" t="str">
            <v xml:space="preserve"> </v>
          </cell>
          <cell r="U29">
            <v>659</v>
          </cell>
          <cell r="V29">
            <v>79</v>
          </cell>
          <cell r="W29">
            <v>58.392405063291136</v>
          </cell>
          <cell r="X29">
            <v>26.493670886075947</v>
          </cell>
          <cell r="Y29">
            <v>17</v>
          </cell>
          <cell r="Z29">
            <v>0</v>
          </cell>
          <cell r="AA29">
            <v>80</v>
          </cell>
          <cell r="AB29">
            <v>237</v>
          </cell>
          <cell r="AC29" t="str">
            <v>wly(lower</v>
          </cell>
          <cell r="AD29" t="str">
            <v>Reg Replen</v>
          </cell>
        </row>
        <row r="30">
          <cell r="A30" t="str">
            <v>US38</v>
          </cell>
          <cell r="B30" t="str">
            <v>FR-NV-Shanghai Plaza</v>
          </cell>
          <cell r="C30" t="str">
            <v>NV</v>
          </cell>
          <cell r="D30" t="str">
            <v>A</v>
          </cell>
          <cell r="E30">
            <v>3</v>
          </cell>
          <cell r="F30">
            <v>1</v>
          </cell>
          <cell r="G30">
            <v>2400</v>
          </cell>
          <cell r="H30">
            <v>400</v>
          </cell>
          <cell r="I30">
            <v>1</v>
          </cell>
          <cell r="J30">
            <v>7390</v>
          </cell>
          <cell r="K30">
            <v>1030</v>
          </cell>
          <cell r="L30">
            <v>50.223300970873787</v>
          </cell>
          <cell r="M30">
            <v>33.912621359223301</v>
          </cell>
          <cell r="N30">
            <v>17</v>
          </cell>
          <cell r="O30">
            <v>0</v>
          </cell>
          <cell r="P30">
            <v>1030</v>
          </cell>
          <cell r="Q30" t="str">
            <v xml:space="preserve"> wly sale(lower</v>
          </cell>
          <cell r="R30">
            <v>3090</v>
          </cell>
          <cell r="S30" t="str">
            <v>Reg Replen</v>
          </cell>
          <cell r="T30" t="str">
            <v xml:space="preserve"> </v>
          </cell>
          <cell r="U30">
            <v>2868</v>
          </cell>
          <cell r="V30">
            <v>332</v>
          </cell>
          <cell r="W30">
            <v>60.46987951807229</v>
          </cell>
          <cell r="X30">
            <v>52.036144578313248</v>
          </cell>
          <cell r="Y30">
            <v>17</v>
          </cell>
          <cell r="Z30">
            <v>0</v>
          </cell>
          <cell r="AA30">
            <v>310</v>
          </cell>
          <cell r="AB30">
            <v>996</v>
          </cell>
          <cell r="AC30" t="str">
            <v>wly(lower-20</v>
          </cell>
          <cell r="AD30" t="str">
            <v>Overstock</v>
          </cell>
        </row>
        <row r="31">
          <cell r="A31" t="str">
            <v>US39</v>
          </cell>
          <cell r="B31" t="str">
            <v>CO-SCA-University Center</v>
          </cell>
          <cell r="C31" t="str">
            <v>CA</v>
          </cell>
          <cell r="D31" t="str">
            <v>B</v>
          </cell>
          <cell r="E31">
            <v>3</v>
          </cell>
          <cell r="F31">
            <v>0</v>
          </cell>
          <cell r="G31">
            <v>1200</v>
          </cell>
          <cell r="H31">
            <v>400</v>
          </cell>
          <cell r="I31">
            <v>0.9</v>
          </cell>
          <cell r="J31">
            <v>2007</v>
          </cell>
          <cell r="K31">
            <v>167</v>
          </cell>
          <cell r="L31">
            <v>84.125748502994014</v>
          </cell>
          <cell r="M31">
            <v>38.856287425149702</v>
          </cell>
          <cell r="N31">
            <v>24</v>
          </cell>
          <cell r="O31">
            <v>0</v>
          </cell>
          <cell r="P31">
            <v>170</v>
          </cell>
          <cell r="Q31" t="str">
            <v xml:space="preserve"> wly sale(lower</v>
          </cell>
          <cell r="R31">
            <v>501</v>
          </cell>
          <cell r="S31" t="str">
            <v>Overstock</v>
          </cell>
          <cell r="T31" t="str">
            <v xml:space="preserve"> </v>
          </cell>
          <cell r="U31">
            <v>979</v>
          </cell>
          <cell r="V31">
            <v>55</v>
          </cell>
          <cell r="W31">
            <v>124.60000000000001</v>
          </cell>
          <cell r="X31">
            <v>78.781818181818181</v>
          </cell>
          <cell r="Y31">
            <v>24</v>
          </cell>
          <cell r="Z31">
            <v>0</v>
          </cell>
          <cell r="AA31">
            <v>30</v>
          </cell>
          <cell r="AB31">
            <v>165</v>
          </cell>
          <cell r="AC31" t="str">
            <v>wly(lower-20</v>
          </cell>
          <cell r="AD31" t="str">
            <v>Overstock</v>
          </cell>
        </row>
        <row r="32">
          <cell r="A32" t="str">
            <v>US42</v>
          </cell>
          <cell r="B32" t="str">
            <v>CO-NJ-Cherry Hill</v>
          </cell>
          <cell r="C32" t="str">
            <v>NJ</v>
          </cell>
          <cell r="D32" t="str">
            <v>C</v>
          </cell>
          <cell r="E32">
            <v>3</v>
          </cell>
          <cell r="F32">
            <v>1</v>
          </cell>
          <cell r="G32">
            <v>2400</v>
          </cell>
          <cell r="H32">
            <v>400</v>
          </cell>
          <cell r="I32">
            <v>0.9</v>
          </cell>
          <cell r="J32">
            <v>2344</v>
          </cell>
          <cell r="K32">
            <v>213</v>
          </cell>
          <cell r="L32">
            <v>77.032863849765263</v>
          </cell>
          <cell r="M32">
            <v>6.046948356807512</v>
          </cell>
          <cell r="N32">
            <v>24</v>
          </cell>
          <cell r="O32">
            <v>786.28571428571422</v>
          </cell>
          <cell r="P32">
            <v>300</v>
          </cell>
          <cell r="Q32" t="str">
            <v xml:space="preserve"> wly sale(upper</v>
          </cell>
          <cell r="R32">
            <v>639</v>
          </cell>
          <cell r="S32" t="str">
            <v>Understock</v>
          </cell>
          <cell r="T32" t="str">
            <v>Decrease Display</v>
          </cell>
          <cell r="U32">
            <v>560</v>
          </cell>
          <cell r="V32">
            <v>77</v>
          </cell>
          <cell r="W32">
            <v>50.909090909090907</v>
          </cell>
          <cell r="X32">
            <v>18.181818181818183</v>
          </cell>
          <cell r="Y32">
            <v>24</v>
          </cell>
          <cell r="Z32">
            <v>104</v>
          </cell>
          <cell r="AA32">
            <v>100</v>
          </cell>
          <cell r="AB32">
            <v>231</v>
          </cell>
          <cell r="AC32" t="str">
            <v>wly(lower</v>
          </cell>
          <cell r="AD32" t="str">
            <v>Reg Replen</v>
          </cell>
        </row>
        <row r="33">
          <cell r="A33" t="str">
            <v>US43</v>
          </cell>
          <cell r="B33" t="str">
            <v>CO-VA-Tyson's Corner</v>
          </cell>
          <cell r="C33" t="str">
            <v>VA</v>
          </cell>
          <cell r="D33" t="str">
            <v>A</v>
          </cell>
          <cell r="E33">
            <v>3</v>
          </cell>
          <cell r="F33">
            <v>1</v>
          </cell>
          <cell r="G33">
            <v>2400</v>
          </cell>
          <cell r="H33">
            <v>400</v>
          </cell>
          <cell r="I33">
            <v>1</v>
          </cell>
          <cell r="J33">
            <v>2717</v>
          </cell>
          <cell r="K33">
            <v>268</v>
          </cell>
          <cell r="L33">
            <v>70.96641791044776</v>
          </cell>
          <cell r="M33">
            <v>8.2798507462686572</v>
          </cell>
          <cell r="N33">
            <v>17</v>
          </cell>
          <cell r="O33">
            <v>333.85714285714312</v>
          </cell>
          <cell r="P33">
            <v>300</v>
          </cell>
          <cell r="Q33" t="str">
            <v xml:space="preserve"> wly sale(upper</v>
          </cell>
          <cell r="R33">
            <v>804</v>
          </cell>
          <cell r="S33" t="str">
            <v>Reg Replen</v>
          </cell>
          <cell r="T33" t="str">
            <v xml:space="preserve"> </v>
          </cell>
          <cell r="U33">
            <v>671</v>
          </cell>
          <cell r="V33">
            <v>42</v>
          </cell>
          <cell r="W33">
            <v>111.83333333333333</v>
          </cell>
          <cell r="X33">
            <v>45.166666666666664</v>
          </cell>
          <cell r="Y33">
            <v>17</v>
          </cell>
          <cell r="Z33">
            <v>0</v>
          </cell>
          <cell r="AA33">
            <v>50</v>
          </cell>
          <cell r="AB33">
            <v>126</v>
          </cell>
          <cell r="AC33" t="str">
            <v>wly(lower-20</v>
          </cell>
          <cell r="AD33" t="str">
            <v>Overstock</v>
          </cell>
        </row>
        <row r="34">
          <cell r="A34" t="str">
            <v>US45</v>
          </cell>
          <cell r="B34" t="str">
            <v>CO-NCA-Sunvalley</v>
          </cell>
          <cell r="C34" t="str">
            <v>CA</v>
          </cell>
          <cell r="D34" t="str">
            <v>C</v>
          </cell>
          <cell r="E34">
            <v>0</v>
          </cell>
          <cell r="F34">
            <v>1</v>
          </cell>
          <cell r="G34">
            <v>1200</v>
          </cell>
          <cell r="H34">
            <v>400</v>
          </cell>
          <cell r="I34">
            <v>0.9</v>
          </cell>
          <cell r="J34">
            <v>1616</v>
          </cell>
          <cell r="K34">
            <v>145</v>
          </cell>
          <cell r="L34">
            <v>78.013793103448279</v>
          </cell>
          <cell r="M34">
            <v>25.875862068965517</v>
          </cell>
          <cell r="N34">
            <v>24</v>
          </cell>
          <cell r="O34">
            <v>81.14285714285711</v>
          </cell>
          <cell r="P34">
            <v>200</v>
          </cell>
          <cell r="Q34" t="str">
            <v xml:space="preserve"> wly sale(upper</v>
          </cell>
          <cell r="R34">
            <v>435</v>
          </cell>
          <cell r="S34" t="str">
            <v>Reg Replen</v>
          </cell>
          <cell r="T34" t="str">
            <v xml:space="preserve"> </v>
          </cell>
          <cell r="U34">
            <v>604</v>
          </cell>
          <cell r="V34">
            <v>54</v>
          </cell>
          <cell r="W34">
            <v>78.296296296296291</v>
          </cell>
          <cell r="X34">
            <v>31.62962962962963</v>
          </cell>
          <cell r="Y34">
            <v>24</v>
          </cell>
          <cell r="Z34">
            <v>0</v>
          </cell>
          <cell r="AA34">
            <v>60</v>
          </cell>
          <cell r="AB34">
            <v>162</v>
          </cell>
          <cell r="AC34" t="str">
            <v>wly(lower</v>
          </cell>
          <cell r="AD34" t="str">
            <v>Reg Replen</v>
          </cell>
        </row>
        <row r="35">
          <cell r="A35" t="str">
            <v>US46</v>
          </cell>
          <cell r="B35" t="str">
            <v>CO-NY-Palisades Center</v>
          </cell>
          <cell r="C35" t="str">
            <v>NY</v>
          </cell>
          <cell r="D35" t="str">
            <v>C</v>
          </cell>
          <cell r="E35">
            <v>0</v>
          </cell>
          <cell r="F35">
            <v>1</v>
          </cell>
          <cell r="G35">
            <v>1200</v>
          </cell>
          <cell r="H35">
            <v>400</v>
          </cell>
          <cell r="I35">
            <v>0.95</v>
          </cell>
          <cell r="J35">
            <v>1884</v>
          </cell>
          <cell r="K35">
            <v>82</v>
          </cell>
          <cell r="L35">
            <v>160.82926829268294</v>
          </cell>
          <cell r="M35">
            <v>63.512195121951223</v>
          </cell>
          <cell r="N35">
            <v>17</v>
          </cell>
          <cell r="O35">
            <v>0</v>
          </cell>
          <cell r="P35">
            <v>40</v>
          </cell>
          <cell r="Q35" t="str">
            <v xml:space="preserve"> wly sale(lower-50</v>
          </cell>
          <cell r="R35">
            <v>246</v>
          </cell>
          <cell r="S35" t="str">
            <v>Overstock</v>
          </cell>
          <cell r="T35" t="str">
            <v xml:space="preserve"> </v>
          </cell>
          <cell r="U35">
            <v>522</v>
          </cell>
          <cell r="V35">
            <v>69</v>
          </cell>
          <cell r="W35">
            <v>52.95652173913043</v>
          </cell>
          <cell r="X35">
            <v>14.405797101449275</v>
          </cell>
          <cell r="Y35">
            <v>17</v>
          </cell>
          <cell r="Z35">
            <v>45.571428571428555</v>
          </cell>
          <cell r="AA35">
            <v>90</v>
          </cell>
          <cell r="AB35">
            <v>207</v>
          </cell>
          <cell r="AC35" t="str">
            <v>wly(lower</v>
          </cell>
          <cell r="AD35" t="str">
            <v>Reg Replen</v>
          </cell>
        </row>
        <row r="36">
          <cell r="A36" t="str">
            <v>US47</v>
          </cell>
          <cell r="B36" t="str">
            <v>CO-NCA-Roseville</v>
          </cell>
          <cell r="C36" t="str">
            <v>CA</v>
          </cell>
          <cell r="D36" t="str">
            <v>B</v>
          </cell>
          <cell r="E36">
            <v>3</v>
          </cell>
          <cell r="F36">
            <v>1</v>
          </cell>
          <cell r="G36">
            <v>2400</v>
          </cell>
          <cell r="H36">
            <v>400</v>
          </cell>
          <cell r="I36">
            <v>0.9</v>
          </cell>
          <cell r="J36">
            <v>1872</v>
          </cell>
          <cell r="K36">
            <v>245</v>
          </cell>
          <cell r="L36">
            <v>53.485714285714288</v>
          </cell>
          <cell r="M36">
            <v>-8.2285714285714278</v>
          </cell>
          <cell r="N36">
            <v>17</v>
          </cell>
          <cell r="O36">
            <v>1123</v>
          </cell>
          <cell r="P36">
            <v>350</v>
          </cell>
          <cell r="Q36" t="str">
            <v xml:space="preserve"> wly sale+50</v>
          </cell>
          <cell r="R36">
            <v>735</v>
          </cell>
          <cell r="S36" t="str">
            <v>Understock</v>
          </cell>
          <cell r="T36" t="str">
            <v>Decrease Display</v>
          </cell>
          <cell r="U36">
            <v>394</v>
          </cell>
          <cell r="V36">
            <v>99</v>
          </cell>
          <cell r="W36">
            <v>27.858585858585858</v>
          </cell>
          <cell r="X36">
            <v>2.404040404040404</v>
          </cell>
          <cell r="Y36">
            <v>17</v>
          </cell>
          <cell r="Z36">
            <v>246.42857142857144</v>
          </cell>
          <cell r="AA36">
            <v>150</v>
          </cell>
          <cell r="AB36">
            <v>297</v>
          </cell>
          <cell r="AC36" t="str">
            <v>wly(upper</v>
          </cell>
          <cell r="AD36" t="str">
            <v>Understock</v>
          </cell>
        </row>
        <row r="37">
          <cell r="A37" t="str">
            <v>US48</v>
          </cell>
          <cell r="B37" t="str">
            <v>CO-NCA-Valley Fair</v>
          </cell>
          <cell r="C37" t="str">
            <v>CA</v>
          </cell>
          <cell r="D37" t="str">
            <v>A</v>
          </cell>
          <cell r="E37">
            <v>4</v>
          </cell>
          <cell r="F37">
            <v>1</v>
          </cell>
          <cell r="G37">
            <v>2800</v>
          </cell>
          <cell r="H37">
            <v>400</v>
          </cell>
          <cell r="I37">
            <v>1</v>
          </cell>
          <cell r="J37">
            <v>4058</v>
          </cell>
          <cell r="K37">
            <v>780</v>
          </cell>
          <cell r="L37">
            <v>36.417948717948718</v>
          </cell>
          <cell r="M37">
            <v>11.289743589743589</v>
          </cell>
          <cell r="N37">
            <v>24</v>
          </cell>
          <cell r="O37">
            <v>1416.2857142857138</v>
          </cell>
          <cell r="P37">
            <v>800</v>
          </cell>
          <cell r="Q37" t="str">
            <v xml:space="preserve"> wly sale(upper</v>
          </cell>
          <cell r="R37">
            <v>2340</v>
          </cell>
          <cell r="S37" t="str">
            <v>Reg Replen</v>
          </cell>
          <cell r="T37" t="str">
            <v xml:space="preserve"> </v>
          </cell>
          <cell r="U37">
            <v>1757</v>
          </cell>
          <cell r="V37">
            <v>232</v>
          </cell>
          <cell r="W37">
            <v>53.012931034482754</v>
          </cell>
          <cell r="X37">
            <v>40.943965517241374</v>
          </cell>
          <cell r="Y37">
            <v>24</v>
          </cell>
          <cell r="Z37">
            <v>0</v>
          </cell>
          <cell r="AA37">
            <v>240</v>
          </cell>
          <cell r="AB37">
            <v>696</v>
          </cell>
          <cell r="AC37" t="str">
            <v>wly(lower-20</v>
          </cell>
          <cell r="AD37" t="str">
            <v>Overstock</v>
          </cell>
        </row>
        <row r="38">
          <cell r="A38" t="str">
            <v>US49</v>
          </cell>
          <cell r="B38" t="str">
            <v>CO-MD-Montgomery</v>
          </cell>
          <cell r="C38" t="str">
            <v>MD</v>
          </cell>
          <cell r="D38" t="str">
            <v>C</v>
          </cell>
          <cell r="E38">
            <v>2</v>
          </cell>
          <cell r="F38">
            <v>0</v>
          </cell>
          <cell r="G38">
            <v>800</v>
          </cell>
          <cell r="H38">
            <v>400</v>
          </cell>
          <cell r="I38">
            <v>0.95</v>
          </cell>
          <cell r="J38">
            <v>2989</v>
          </cell>
          <cell r="K38">
            <v>67</v>
          </cell>
          <cell r="L38">
            <v>312.28358208955223</v>
          </cell>
          <cell r="M38">
            <v>232.88059701492537</v>
          </cell>
          <cell r="N38">
            <v>17</v>
          </cell>
          <cell r="O38">
            <v>0</v>
          </cell>
          <cell r="P38">
            <v>20</v>
          </cell>
          <cell r="Q38" t="str">
            <v xml:space="preserve"> wly sale(lower-50</v>
          </cell>
          <cell r="R38">
            <v>201</v>
          </cell>
          <cell r="S38" t="str">
            <v>Overstock</v>
          </cell>
          <cell r="T38" t="str">
            <v xml:space="preserve"> </v>
          </cell>
          <cell r="U38">
            <v>856</v>
          </cell>
          <cell r="V38">
            <v>75</v>
          </cell>
          <cell r="W38">
            <v>79.893333333333345</v>
          </cell>
          <cell r="X38">
            <v>44.426666666666669</v>
          </cell>
          <cell r="Y38">
            <v>17</v>
          </cell>
          <cell r="Z38">
            <v>0</v>
          </cell>
          <cell r="AA38">
            <v>80</v>
          </cell>
          <cell r="AB38">
            <v>225</v>
          </cell>
          <cell r="AC38" t="str">
            <v>wly(lower-20</v>
          </cell>
          <cell r="AD38" t="str">
            <v>Overstock</v>
          </cell>
        </row>
        <row r="39">
          <cell r="A39" t="str">
            <v>US51</v>
          </cell>
          <cell r="B39" t="str">
            <v>CO-NCA-Arden Fair</v>
          </cell>
          <cell r="C39" t="str">
            <v>CA</v>
          </cell>
          <cell r="D39" t="str">
            <v>B</v>
          </cell>
          <cell r="E39">
            <v>2</v>
          </cell>
          <cell r="F39">
            <v>0</v>
          </cell>
          <cell r="G39">
            <v>800</v>
          </cell>
          <cell r="H39">
            <v>400</v>
          </cell>
          <cell r="I39">
            <v>0.9</v>
          </cell>
          <cell r="J39">
            <v>1469</v>
          </cell>
          <cell r="K39">
            <v>306</v>
          </cell>
          <cell r="L39">
            <v>33.604575163398692</v>
          </cell>
          <cell r="M39">
            <v>17.133986928104576</v>
          </cell>
          <cell r="N39">
            <v>24</v>
          </cell>
          <cell r="O39">
            <v>380.14285714285711</v>
          </cell>
          <cell r="P39">
            <v>400</v>
          </cell>
          <cell r="Q39" t="str">
            <v xml:space="preserve"> wly sale(upper</v>
          </cell>
          <cell r="R39">
            <v>918</v>
          </cell>
          <cell r="S39" t="str">
            <v>Reg Replen</v>
          </cell>
          <cell r="T39" t="str">
            <v xml:space="preserve"> </v>
          </cell>
          <cell r="U39">
            <v>618</v>
          </cell>
          <cell r="V39">
            <v>92</v>
          </cell>
          <cell r="W39">
            <v>47.021739130434781</v>
          </cell>
          <cell r="X39">
            <v>19.630434782608695</v>
          </cell>
          <cell r="Y39">
            <v>24</v>
          </cell>
          <cell r="Z39">
            <v>97.428571428571445</v>
          </cell>
          <cell r="AA39">
            <v>100</v>
          </cell>
          <cell r="AB39">
            <v>276</v>
          </cell>
          <cell r="AC39" t="str">
            <v>wly(lower</v>
          </cell>
          <cell r="AD39" t="str">
            <v>Reg Replen</v>
          </cell>
        </row>
        <row r="40">
          <cell r="A40" t="str">
            <v>US52</v>
          </cell>
          <cell r="B40" t="str">
            <v>CO-DE-Christiana</v>
          </cell>
          <cell r="C40" t="str">
            <v>DE</v>
          </cell>
          <cell r="D40" t="str">
            <v>C</v>
          </cell>
          <cell r="E40">
            <v>3</v>
          </cell>
          <cell r="F40">
            <v>1</v>
          </cell>
          <cell r="G40">
            <v>2400</v>
          </cell>
          <cell r="H40">
            <v>400</v>
          </cell>
          <cell r="I40">
            <v>0.95</v>
          </cell>
          <cell r="J40">
            <v>2420</v>
          </cell>
          <cell r="K40">
            <v>128</v>
          </cell>
          <cell r="L40">
            <v>132.34375</v>
          </cell>
          <cell r="M40">
            <v>7.65625</v>
          </cell>
          <cell r="N40">
            <v>24</v>
          </cell>
          <cell r="O40">
            <v>418.85714285714266</v>
          </cell>
          <cell r="P40">
            <v>200</v>
          </cell>
          <cell r="Q40" t="str">
            <v xml:space="preserve"> wly sale(upper</v>
          </cell>
          <cell r="R40">
            <v>384</v>
          </cell>
          <cell r="S40" t="str">
            <v>Reg Replen</v>
          </cell>
          <cell r="T40" t="str">
            <v xml:space="preserve"> </v>
          </cell>
          <cell r="U40">
            <v>534</v>
          </cell>
          <cell r="V40">
            <v>89</v>
          </cell>
          <cell r="W40">
            <v>42</v>
          </cell>
          <cell r="X40">
            <v>12.112359550561798</v>
          </cell>
          <cell r="Y40">
            <v>24</v>
          </cell>
          <cell r="Z40">
            <v>171.14285714285711</v>
          </cell>
          <cell r="AA40">
            <v>110</v>
          </cell>
          <cell r="AB40">
            <v>267</v>
          </cell>
          <cell r="AC40" t="str">
            <v>wly(lower</v>
          </cell>
          <cell r="AD40" t="str">
            <v>Reg Replen</v>
          </cell>
        </row>
        <row r="41">
          <cell r="A41" t="str">
            <v>US53</v>
          </cell>
          <cell r="B41" t="str">
            <v>Natick</v>
          </cell>
          <cell r="C41" t="str">
            <v>MA</v>
          </cell>
          <cell r="D41" t="str">
            <v>B</v>
          </cell>
          <cell r="E41">
            <v>0</v>
          </cell>
          <cell r="F41">
            <v>1</v>
          </cell>
          <cell r="G41">
            <v>1200</v>
          </cell>
          <cell r="H41">
            <v>400</v>
          </cell>
          <cell r="I41">
            <v>0.9</v>
          </cell>
          <cell r="J41">
            <v>2604</v>
          </cell>
          <cell r="K41">
            <v>120</v>
          </cell>
          <cell r="L41">
            <v>151.9</v>
          </cell>
          <cell r="M41">
            <v>88.9</v>
          </cell>
          <cell r="N41">
            <v>24</v>
          </cell>
          <cell r="O41">
            <v>0</v>
          </cell>
          <cell r="P41">
            <v>70</v>
          </cell>
          <cell r="Q41" t="str">
            <v xml:space="preserve"> wly sale(lower-50</v>
          </cell>
          <cell r="R41">
            <v>360</v>
          </cell>
          <cell r="S41" t="str">
            <v>Overstock</v>
          </cell>
          <cell r="T41" t="str">
            <v xml:space="preserve"> </v>
          </cell>
          <cell r="U41">
            <v>505</v>
          </cell>
          <cell r="V41">
            <v>72</v>
          </cell>
          <cell r="W41">
            <v>49.097222222222221</v>
          </cell>
          <cell r="X41">
            <v>14.097222222222221</v>
          </cell>
          <cell r="Y41">
            <v>24</v>
          </cell>
          <cell r="Z41">
            <v>141.85714285714289</v>
          </cell>
          <cell r="AA41">
            <v>100</v>
          </cell>
          <cell r="AB41">
            <v>216</v>
          </cell>
          <cell r="AC41" t="str">
            <v>wly(lower</v>
          </cell>
          <cell r="AD41" t="str">
            <v>Reg Replen</v>
          </cell>
        </row>
        <row r="42">
          <cell r="A42" t="str">
            <v>US54</v>
          </cell>
          <cell r="B42" t="str">
            <v>CO-MD-Mall in Columbia</v>
          </cell>
          <cell r="C42" t="str">
            <v>MD</v>
          </cell>
          <cell r="D42" t="str">
            <v>C</v>
          </cell>
          <cell r="E42">
            <v>0</v>
          </cell>
          <cell r="F42">
            <v>1</v>
          </cell>
          <cell r="G42">
            <v>1200</v>
          </cell>
          <cell r="H42">
            <v>400</v>
          </cell>
          <cell r="I42">
            <v>0.9</v>
          </cell>
          <cell r="J42">
            <v>1768</v>
          </cell>
          <cell r="K42">
            <v>98</v>
          </cell>
          <cell r="L42">
            <v>126.28571428571429</v>
          </cell>
          <cell r="M42">
            <v>49.142857142857146</v>
          </cell>
          <cell r="N42">
            <v>24</v>
          </cell>
          <cell r="O42">
            <v>0</v>
          </cell>
          <cell r="P42">
            <v>100</v>
          </cell>
          <cell r="Q42" t="str">
            <v xml:space="preserve"> wly sale(lower</v>
          </cell>
          <cell r="R42">
            <v>294</v>
          </cell>
          <cell r="S42" t="str">
            <v>Overstock</v>
          </cell>
          <cell r="T42" t="str">
            <v xml:space="preserve"> </v>
          </cell>
          <cell r="U42">
            <v>663</v>
          </cell>
          <cell r="V42">
            <v>60</v>
          </cell>
          <cell r="W42">
            <v>77.350000000000009</v>
          </cell>
          <cell r="X42">
            <v>35.35</v>
          </cell>
          <cell r="Y42">
            <v>24</v>
          </cell>
          <cell r="Z42">
            <v>0</v>
          </cell>
          <cell r="AA42">
            <v>60</v>
          </cell>
          <cell r="AB42">
            <v>180</v>
          </cell>
          <cell r="AC42" t="str">
            <v>wly(lower-20</v>
          </cell>
          <cell r="AD42" t="str">
            <v>Overstock</v>
          </cell>
        </row>
        <row r="43">
          <cell r="A43" t="str">
            <v>US55</v>
          </cell>
          <cell r="B43" t="str">
            <v>CO-NY-Staten Island</v>
          </cell>
          <cell r="C43" t="str">
            <v>NY</v>
          </cell>
          <cell r="D43" t="str">
            <v>C</v>
          </cell>
          <cell r="E43">
            <v>2</v>
          </cell>
          <cell r="F43">
            <v>1</v>
          </cell>
          <cell r="G43">
            <v>2000</v>
          </cell>
          <cell r="H43">
            <v>800</v>
          </cell>
          <cell r="I43">
            <v>0.95</v>
          </cell>
          <cell r="J43">
            <v>2708</v>
          </cell>
          <cell r="K43">
            <v>136</v>
          </cell>
          <cell r="L43">
            <v>139.38235294117649</v>
          </cell>
          <cell r="M43">
            <v>41.588235294117652</v>
          </cell>
          <cell r="N43">
            <v>17</v>
          </cell>
          <cell r="O43">
            <v>0</v>
          </cell>
          <cell r="P43">
            <v>140</v>
          </cell>
          <cell r="Q43" t="str">
            <v xml:space="preserve"> wly sale(lower</v>
          </cell>
          <cell r="R43">
            <v>408</v>
          </cell>
          <cell r="S43" t="str">
            <v>Overstock</v>
          </cell>
          <cell r="T43" t="str">
            <v xml:space="preserve"> </v>
          </cell>
          <cell r="U43">
            <v>814</v>
          </cell>
          <cell r="V43">
            <v>59</v>
          </cell>
          <cell r="W43">
            <v>96.576271186440678</v>
          </cell>
          <cell r="X43">
            <v>6.406779661016949</v>
          </cell>
          <cell r="Y43">
            <v>17</v>
          </cell>
          <cell r="Z43">
            <v>129.28571428571422</v>
          </cell>
          <cell r="AA43">
            <v>80</v>
          </cell>
          <cell r="AB43">
            <v>177</v>
          </cell>
          <cell r="AC43" t="str">
            <v>wly(lower</v>
          </cell>
          <cell r="AD43" t="str">
            <v>Understock</v>
          </cell>
        </row>
        <row r="44">
          <cell r="A44" t="str">
            <v>US56</v>
          </cell>
          <cell r="B44" t="str">
            <v>CO-SCA-Brea Mall</v>
          </cell>
          <cell r="C44" t="str">
            <v>CA</v>
          </cell>
          <cell r="D44" t="str">
            <v>B</v>
          </cell>
          <cell r="E44">
            <v>3</v>
          </cell>
          <cell r="F44">
            <v>1</v>
          </cell>
          <cell r="G44">
            <v>2400</v>
          </cell>
          <cell r="H44">
            <v>400</v>
          </cell>
          <cell r="I44">
            <v>0.9</v>
          </cell>
          <cell r="J44">
            <v>2334</v>
          </cell>
          <cell r="K44">
            <v>305</v>
          </cell>
          <cell r="L44">
            <v>53.567213114754104</v>
          </cell>
          <cell r="M44">
            <v>3.9934426229508198</v>
          </cell>
          <cell r="N44">
            <v>24</v>
          </cell>
          <cell r="O44">
            <v>1111.7142857142858</v>
          </cell>
          <cell r="P44">
            <v>400</v>
          </cell>
          <cell r="Q44" t="str">
            <v xml:space="preserve"> wly sale(upper</v>
          </cell>
          <cell r="R44">
            <v>915</v>
          </cell>
          <cell r="S44" t="str">
            <v>Understock</v>
          </cell>
          <cell r="T44" t="str">
            <v>Decrease Display</v>
          </cell>
          <cell r="U44">
            <v>386</v>
          </cell>
          <cell r="V44">
            <v>66</v>
          </cell>
          <cell r="W44">
            <v>40.939393939393938</v>
          </cell>
          <cell r="X44">
            <v>2.7575757575757573</v>
          </cell>
          <cell r="Y44">
            <v>24</v>
          </cell>
          <cell r="Z44">
            <v>240.28571428571422</v>
          </cell>
          <cell r="AA44">
            <v>120</v>
          </cell>
          <cell r="AB44">
            <v>198</v>
          </cell>
          <cell r="AC44" t="str">
            <v>wly(upper</v>
          </cell>
          <cell r="AD44" t="str">
            <v>Understock</v>
          </cell>
        </row>
        <row r="45">
          <cell r="A45" t="str">
            <v>US57</v>
          </cell>
          <cell r="B45" t="str">
            <v>CO-PA-King of Prussia</v>
          </cell>
          <cell r="C45" t="str">
            <v>PA</v>
          </cell>
          <cell r="D45" t="str">
            <v>C</v>
          </cell>
          <cell r="E45">
            <v>3</v>
          </cell>
          <cell r="F45">
            <v>1</v>
          </cell>
          <cell r="G45">
            <v>2400</v>
          </cell>
          <cell r="H45">
            <v>400</v>
          </cell>
          <cell r="I45">
            <v>0.95</v>
          </cell>
          <cell r="J45">
            <v>2627</v>
          </cell>
          <cell r="K45">
            <v>164</v>
          </cell>
          <cell r="L45">
            <v>112.12804878048782</v>
          </cell>
          <cell r="M45">
            <v>14.810975609756099</v>
          </cell>
          <cell r="N45">
            <v>24</v>
          </cell>
          <cell r="O45">
            <v>335.28571428571422</v>
          </cell>
          <cell r="P45">
            <v>200</v>
          </cell>
          <cell r="Q45" t="str">
            <v xml:space="preserve"> wly sale(upper</v>
          </cell>
          <cell r="R45">
            <v>492</v>
          </cell>
          <cell r="S45" t="str">
            <v>Reg Replen</v>
          </cell>
          <cell r="T45" t="str">
            <v xml:space="preserve"> </v>
          </cell>
          <cell r="U45">
            <v>652</v>
          </cell>
          <cell r="V45">
            <v>59</v>
          </cell>
          <cell r="W45">
            <v>77.355932203389827</v>
          </cell>
          <cell r="X45">
            <v>32.271186440677965</v>
          </cell>
          <cell r="Y45">
            <v>24</v>
          </cell>
          <cell r="Z45">
            <v>0</v>
          </cell>
          <cell r="AA45">
            <v>60</v>
          </cell>
          <cell r="AB45">
            <v>177</v>
          </cell>
          <cell r="AC45" t="str">
            <v>wly(lower</v>
          </cell>
          <cell r="AD45" t="str">
            <v>Reg Replen</v>
          </cell>
        </row>
        <row r="46">
          <cell r="A46" t="str">
            <v>US58</v>
          </cell>
          <cell r="B46" t="str">
            <v>CO-MA-South Shore</v>
          </cell>
          <cell r="C46" t="str">
            <v>MA</v>
          </cell>
          <cell r="D46" t="str">
            <v>B</v>
          </cell>
          <cell r="E46">
            <v>3</v>
          </cell>
          <cell r="F46">
            <v>1</v>
          </cell>
          <cell r="G46">
            <v>2400</v>
          </cell>
          <cell r="H46">
            <v>400</v>
          </cell>
          <cell r="I46">
            <v>0.9</v>
          </cell>
          <cell r="J46">
            <v>3737</v>
          </cell>
          <cell r="K46">
            <v>233</v>
          </cell>
          <cell r="L46">
            <v>112.27038626609442</v>
          </cell>
          <cell r="M46">
            <v>47.377682403433475</v>
          </cell>
          <cell r="N46">
            <v>24</v>
          </cell>
          <cell r="O46">
            <v>0</v>
          </cell>
          <cell r="P46">
            <v>240</v>
          </cell>
          <cell r="Q46" t="str">
            <v xml:space="preserve"> wly sale(lower</v>
          </cell>
          <cell r="R46">
            <v>699</v>
          </cell>
          <cell r="S46" t="str">
            <v>Overstock</v>
          </cell>
          <cell r="T46" t="str">
            <v xml:space="preserve"> </v>
          </cell>
          <cell r="U46">
            <v>554</v>
          </cell>
          <cell r="V46">
            <v>99</v>
          </cell>
          <cell r="W46">
            <v>39.171717171717177</v>
          </cell>
          <cell r="X46">
            <v>13.717171717171718</v>
          </cell>
          <cell r="Y46">
            <v>24</v>
          </cell>
          <cell r="Z46">
            <v>185.42857142857144</v>
          </cell>
          <cell r="AA46">
            <v>120</v>
          </cell>
          <cell r="AB46">
            <v>297</v>
          </cell>
          <cell r="AC46" t="str">
            <v>wly(lower</v>
          </cell>
          <cell r="AD46" t="str">
            <v>Reg Replen</v>
          </cell>
        </row>
        <row r="47">
          <cell r="A47" t="str">
            <v>US59</v>
          </cell>
          <cell r="B47" t="str">
            <v>CO-VA-Potomac Mills</v>
          </cell>
          <cell r="C47" t="str">
            <v>VA</v>
          </cell>
          <cell r="D47" t="str">
            <v>C</v>
          </cell>
          <cell r="E47">
            <v>3</v>
          </cell>
          <cell r="F47">
            <v>1</v>
          </cell>
          <cell r="G47">
            <v>2400</v>
          </cell>
          <cell r="H47">
            <v>400</v>
          </cell>
          <cell r="I47">
            <v>0.95</v>
          </cell>
          <cell r="J47">
            <v>2451</v>
          </cell>
          <cell r="K47">
            <v>165</v>
          </cell>
          <cell r="L47">
            <v>103.98181818181817</v>
          </cell>
          <cell r="M47">
            <v>7.254545454545454</v>
          </cell>
          <cell r="N47">
            <v>24</v>
          </cell>
          <cell r="O47">
            <v>514.71428571428578</v>
          </cell>
          <cell r="P47">
            <v>200</v>
          </cell>
          <cell r="Q47" t="str">
            <v xml:space="preserve"> wly sale(upper</v>
          </cell>
          <cell r="R47">
            <v>495</v>
          </cell>
          <cell r="S47" t="str">
            <v>Reg Replen</v>
          </cell>
          <cell r="T47" t="str">
            <v xml:space="preserve"> </v>
          </cell>
          <cell r="U47">
            <v>499</v>
          </cell>
          <cell r="V47">
            <v>98</v>
          </cell>
          <cell r="W47">
            <v>35.642857142857146</v>
          </cell>
          <cell r="X47">
            <v>8.5</v>
          </cell>
          <cell r="Y47">
            <v>24</v>
          </cell>
          <cell r="Z47">
            <v>237</v>
          </cell>
          <cell r="AA47">
            <v>120</v>
          </cell>
          <cell r="AB47">
            <v>294</v>
          </cell>
          <cell r="AC47" t="str">
            <v>wly(lower</v>
          </cell>
          <cell r="AD47" t="str">
            <v>Reg Replen</v>
          </cell>
        </row>
        <row r="48">
          <cell r="A48" t="str">
            <v>US60</v>
          </cell>
          <cell r="B48" t="str">
            <v>CO-NJ-Jersey Gardens</v>
          </cell>
          <cell r="C48" t="str">
            <v>NJ</v>
          </cell>
          <cell r="D48" t="str">
            <v>B</v>
          </cell>
          <cell r="E48">
            <v>3</v>
          </cell>
          <cell r="F48">
            <v>1</v>
          </cell>
          <cell r="G48">
            <v>2400</v>
          </cell>
          <cell r="H48">
            <v>400</v>
          </cell>
          <cell r="I48">
            <v>0.9</v>
          </cell>
          <cell r="J48">
            <v>2627</v>
          </cell>
          <cell r="K48">
            <v>183</v>
          </cell>
          <cell r="L48">
            <v>100.48633879781421</v>
          </cell>
          <cell r="M48">
            <v>17.863387978142075</v>
          </cell>
          <cell r="N48">
            <v>24</v>
          </cell>
          <cell r="O48">
            <v>400.42857142857156</v>
          </cell>
          <cell r="P48">
            <v>200</v>
          </cell>
          <cell r="Q48" t="str">
            <v xml:space="preserve"> wly sale(upper</v>
          </cell>
          <cell r="R48">
            <v>549</v>
          </cell>
          <cell r="S48" t="str">
            <v>Reg Replen</v>
          </cell>
          <cell r="T48" t="str">
            <v xml:space="preserve"> </v>
          </cell>
          <cell r="U48">
            <v>561</v>
          </cell>
          <cell r="V48">
            <v>131</v>
          </cell>
          <cell r="W48">
            <v>29.977099236641219</v>
          </cell>
          <cell r="X48">
            <v>10.740458015267174</v>
          </cell>
          <cell r="Y48">
            <v>24</v>
          </cell>
          <cell r="Z48">
            <v>288.14285714285711</v>
          </cell>
          <cell r="AA48">
            <v>160</v>
          </cell>
          <cell r="AB48">
            <v>393</v>
          </cell>
          <cell r="AC48" t="str">
            <v>wly(lower</v>
          </cell>
          <cell r="AD48" t="str">
            <v>Reg Replen</v>
          </cell>
        </row>
        <row r="49">
          <cell r="A49" t="str">
            <v>US61</v>
          </cell>
          <cell r="B49" t="str">
            <v>CO-MA-Northshore</v>
          </cell>
          <cell r="C49" t="str">
            <v>MA</v>
          </cell>
          <cell r="D49" t="str">
            <v>C</v>
          </cell>
          <cell r="E49">
            <v>1</v>
          </cell>
          <cell r="F49">
            <v>1</v>
          </cell>
          <cell r="G49">
            <v>1600</v>
          </cell>
          <cell r="H49">
            <v>200</v>
          </cell>
          <cell r="I49">
            <v>0.9</v>
          </cell>
          <cell r="J49">
            <v>2322</v>
          </cell>
          <cell r="K49">
            <v>158</v>
          </cell>
          <cell r="L49">
            <v>102.87341772151898</v>
          </cell>
          <cell r="M49">
            <v>39.075949367088604</v>
          </cell>
          <cell r="N49">
            <v>24</v>
          </cell>
          <cell r="O49">
            <v>0</v>
          </cell>
          <cell r="P49">
            <v>160</v>
          </cell>
          <cell r="Q49" t="str">
            <v xml:space="preserve"> wly sale(lower</v>
          </cell>
          <cell r="R49">
            <v>474</v>
          </cell>
          <cell r="S49" t="str">
            <v>Overstock</v>
          </cell>
          <cell r="T49" t="str">
            <v xml:space="preserve"> </v>
          </cell>
          <cell r="U49">
            <v>864</v>
          </cell>
          <cell r="V49">
            <v>66</v>
          </cell>
          <cell r="W49">
            <v>91.63636363636364</v>
          </cell>
          <cell r="X49">
            <v>72.545454545454547</v>
          </cell>
          <cell r="Y49">
            <v>24</v>
          </cell>
          <cell r="Z49">
            <v>0</v>
          </cell>
          <cell r="AA49">
            <v>40</v>
          </cell>
          <cell r="AB49">
            <v>198</v>
          </cell>
          <cell r="AC49" t="str">
            <v>wly(lower-20</v>
          </cell>
          <cell r="AD49" t="str">
            <v>Overstock</v>
          </cell>
        </row>
        <row r="50">
          <cell r="A50" t="str">
            <v>US64</v>
          </cell>
          <cell r="B50" t="str">
            <v>CO-NY-Tangram</v>
          </cell>
          <cell r="C50" t="str">
            <v>NY</v>
          </cell>
          <cell r="D50" t="str">
            <v>A</v>
          </cell>
          <cell r="E50">
            <v>4</v>
          </cell>
          <cell r="F50">
            <v>1</v>
          </cell>
          <cell r="G50">
            <v>2800</v>
          </cell>
          <cell r="H50">
            <v>400</v>
          </cell>
          <cell r="I50">
            <v>1</v>
          </cell>
          <cell r="J50">
            <v>3779</v>
          </cell>
          <cell r="K50">
            <v>383</v>
          </cell>
          <cell r="L50">
            <v>69.067885117493475</v>
          </cell>
          <cell r="M50">
            <v>17.892950391644909</v>
          </cell>
          <cell r="N50">
            <v>24</v>
          </cell>
          <cell r="O50">
            <v>334.14285714285688</v>
          </cell>
          <cell r="P50">
            <v>400</v>
          </cell>
          <cell r="Q50" t="str">
            <v xml:space="preserve"> wly sale(upper</v>
          </cell>
          <cell r="R50">
            <v>1149</v>
          </cell>
          <cell r="S50" t="str">
            <v>Reg Replen</v>
          </cell>
          <cell r="T50" t="str">
            <v xml:space="preserve"> </v>
          </cell>
          <cell r="U50">
            <v>644</v>
          </cell>
          <cell r="V50">
            <v>210</v>
          </cell>
          <cell r="W50">
            <v>21.466666666666665</v>
          </cell>
          <cell r="X50">
            <v>8.1333333333333329</v>
          </cell>
          <cell r="Y50">
            <v>24</v>
          </cell>
          <cell r="Z50">
            <v>476</v>
          </cell>
          <cell r="AA50">
            <v>230</v>
          </cell>
          <cell r="AB50">
            <v>630</v>
          </cell>
          <cell r="AC50" t="str">
            <v>wly(lower</v>
          </cell>
          <cell r="AD50" t="str">
            <v>Reg Replen</v>
          </cell>
        </row>
        <row r="51">
          <cell r="A51" t="str">
            <v>US65</v>
          </cell>
          <cell r="B51" t="str">
            <v>CO-NY-SOHO490</v>
          </cell>
          <cell r="C51" t="str">
            <v>NY</v>
          </cell>
          <cell r="D51" t="str">
            <v>A</v>
          </cell>
          <cell r="E51">
            <v>2</v>
          </cell>
          <cell r="F51">
            <v>2</v>
          </cell>
          <cell r="G51">
            <v>3200</v>
          </cell>
          <cell r="H51">
            <v>800</v>
          </cell>
          <cell r="I51">
            <v>1</v>
          </cell>
          <cell r="J51">
            <v>6843</v>
          </cell>
          <cell r="K51">
            <v>931</v>
          </cell>
          <cell r="L51">
            <v>51.451127819548873</v>
          </cell>
          <cell r="M51">
            <v>27.390977443609021</v>
          </cell>
          <cell r="N51">
            <v>24</v>
          </cell>
          <cell r="O51">
            <v>0</v>
          </cell>
          <cell r="P51">
            <v>1000</v>
          </cell>
          <cell r="Q51" t="str">
            <v xml:space="preserve"> wly sale(upper</v>
          </cell>
          <cell r="R51">
            <v>2793</v>
          </cell>
          <cell r="S51" t="str">
            <v>Reg Replen</v>
          </cell>
          <cell r="T51" t="str">
            <v xml:space="preserve"> </v>
          </cell>
          <cell r="U51">
            <v>3465</v>
          </cell>
          <cell r="V51">
            <v>588</v>
          </cell>
          <cell r="W51">
            <v>41.25</v>
          </cell>
          <cell r="X51">
            <v>31.726190476190474</v>
          </cell>
          <cell r="Y51">
            <v>24</v>
          </cell>
          <cell r="Z51">
            <v>0</v>
          </cell>
          <cell r="AA51">
            <v>590</v>
          </cell>
          <cell r="AB51">
            <v>1764</v>
          </cell>
          <cell r="AC51" t="str">
            <v>wly(lower-20</v>
          </cell>
          <cell r="AD51" t="str">
            <v>Reg Replen</v>
          </cell>
        </row>
        <row r="52">
          <cell r="A52" t="str">
            <v>US66</v>
          </cell>
          <cell r="B52" t="str">
            <v>CO-NCA-Alderwood</v>
          </cell>
          <cell r="C52" t="str">
            <v>WA</v>
          </cell>
          <cell r="D52" t="str">
            <v>A</v>
          </cell>
          <cell r="E52">
            <v>2</v>
          </cell>
          <cell r="F52">
            <v>1</v>
          </cell>
          <cell r="G52">
            <v>2000</v>
          </cell>
          <cell r="H52">
            <v>400</v>
          </cell>
          <cell r="I52">
            <v>1</v>
          </cell>
          <cell r="J52">
            <v>2867</v>
          </cell>
          <cell r="K52">
            <v>373</v>
          </cell>
          <cell r="L52">
            <v>53.804289544235928</v>
          </cell>
          <cell r="M52">
            <v>16.270777479892761</v>
          </cell>
          <cell r="N52">
            <v>24</v>
          </cell>
          <cell r="O52">
            <v>411.85714285714312</v>
          </cell>
          <cell r="P52">
            <v>400</v>
          </cell>
          <cell r="Q52" t="str">
            <v xml:space="preserve"> wly sale(upper</v>
          </cell>
          <cell r="R52">
            <v>1119</v>
          </cell>
          <cell r="S52" t="str">
            <v>Reg Replen</v>
          </cell>
          <cell r="T52" t="str">
            <v xml:space="preserve"> </v>
          </cell>
          <cell r="U52">
            <v>821</v>
          </cell>
          <cell r="V52">
            <v>161</v>
          </cell>
          <cell r="W52">
            <v>35.695652173913047</v>
          </cell>
          <cell r="X52">
            <v>18.304347826086957</v>
          </cell>
          <cell r="Y52">
            <v>24</v>
          </cell>
          <cell r="Z52">
            <v>131</v>
          </cell>
          <cell r="AA52">
            <v>190</v>
          </cell>
          <cell r="AB52">
            <v>483</v>
          </cell>
          <cell r="AC52" t="str">
            <v>wly(lower</v>
          </cell>
          <cell r="AD52" t="str">
            <v>Reg Replen</v>
          </cell>
        </row>
        <row r="53">
          <cell r="A53" t="str">
            <v>US67</v>
          </cell>
          <cell r="B53" t="str">
            <v>CO-VA-Fair Oaks</v>
          </cell>
          <cell r="C53" t="str">
            <v>VA</v>
          </cell>
          <cell r="D53" t="str">
            <v>B</v>
          </cell>
          <cell r="E53">
            <v>3</v>
          </cell>
          <cell r="F53">
            <v>1</v>
          </cell>
          <cell r="G53">
            <v>2400</v>
          </cell>
          <cell r="H53">
            <v>200</v>
          </cell>
          <cell r="I53">
            <v>0.95</v>
          </cell>
          <cell r="J53">
            <v>2616</v>
          </cell>
          <cell r="K53">
            <v>158</v>
          </cell>
          <cell r="L53">
            <v>115.89873417721518</v>
          </cell>
          <cell r="M53">
            <v>14.886075949367088</v>
          </cell>
          <cell r="N53">
            <v>17</v>
          </cell>
          <cell r="O53">
            <v>167.71428571428578</v>
          </cell>
          <cell r="P53">
            <v>200</v>
          </cell>
          <cell r="Q53" t="str">
            <v xml:space="preserve"> wly sale(upper</v>
          </cell>
          <cell r="R53">
            <v>474</v>
          </cell>
          <cell r="S53" t="str">
            <v>Reg Replen</v>
          </cell>
          <cell r="T53" t="str">
            <v xml:space="preserve"> </v>
          </cell>
          <cell r="U53">
            <v>583</v>
          </cell>
          <cell r="V53">
            <v>66</v>
          </cell>
          <cell r="W53">
            <v>61.833333333333329</v>
          </cell>
          <cell r="X53">
            <v>41.68181818181818</v>
          </cell>
          <cell r="Y53">
            <v>17</v>
          </cell>
          <cell r="Z53">
            <v>0</v>
          </cell>
          <cell r="AA53">
            <v>70</v>
          </cell>
          <cell r="AB53">
            <v>198</v>
          </cell>
          <cell r="AC53" t="str">
            <v>wly(lower-20</v>
          </cell>
          <cell r="AD53" t="str">
            <v>Overstock</v>
          </cell>
        </row>
        <row r="54">
          <cell r="A54" t="str">
            <v>US69</v>
          </cell>
          <cell r="B54" t="str">
            <v>CO-NCA-Oakridge</v>
          </cell>
          <cell r="C54" t="str">
            <v>CA</v>
          </cell>
          <cell r="D54" t="str">
            <v>B</v>
          </cell>
          <cell r="E54">
            <v>4</v>
          </cell>
          <cell r="F54">
            <v>1</v>
          </cell>
          <cell r="G54">
            <v>2800</v>
          </cell>
          <cell r="H54">
            <v>400</v>
          </cell>
          <cell r="I54">
            <v>0.95</v>
          </cell>
          <cell r="J54">
            <v>3109</v>
          </cell>
          <cell r="K54">
            <v>304</v>
          </cell>
          <cell r="L54">
            <v>71.588815789473685</v>
          </cell>
          <cell r="M54">
            <v>10.338815789473683</v>
          </cell>
          <cell r="N54">
            <v>24</v>
          </cell>
          <cell r="O54">
            <v>733.28571428571422</v>
          </cell>
          <cell r="P54">
            <v>400</v>
          </cell>
          <cell r="Q54" t="str">
            <v xml:space="preserve"> wly sale(upper</v>
          </cell>
          <cell r="R54">
            <v>912</v>
          </cell>
          <cell r="S54" t="str">
            <v>Reg Replen</v>
          </cell>
          <cell r="T54" t="str">
            <v xml:space="preserve"> </v>
          </cell>
          <cell r="U54">
            <v>948</v>
          </cell>
          <cell r="V54">
            <v>124</v>
          </cell>
          <cell r="W54">
            <v>53.516129032258064</v>
          </cell>
          <cell r="X54">
            <v>32.064516129032256</v>
          </cell>
          <cell r="Y54">
            <v>24</v>
          </cell>
          <cell r="Z54">
            <v>0</v>
          </cell>
          <cell r="AA54">
            <v>130</v>
          </cell>
          <cell r="AB54">
            <v>372</v>
          </cell>
          <cell r="AC54" t="str">
            <v>wly(lower-20</v>
          </cell>
          <cell r="AD54" t="str">
            <v>Reg Replen</v>
          </cell>
        </row>
        <row r="55">
          <cell r="A55" t="str">
            <v>US70</v>
          </cell>
          <cell r="B55" t="str">
            <v>Providence Place</v>
          </cell>
          <cell r="C55" t="str">
            <v>RI</v>
          </cell>
          <cell r="D55" t="str">
            <v>B</v>
          </cell>
          <cell r="E55">
            <v>4</v>
          </cell>
          <cell r="F55">
            <v>1</v>
          </cell>
          <cell r="G55">
            <v>2800</v>
          </cell>
          <cell r="H55">
            <v>200</v>
          </cell>
          <cell r="I55">
            <v>0.95</v>
          </cell>
          <cell r="J55">
            <v>2979</v>
          </cell>
          <cell r="K55">
            <v>215</v>
          </cell>
          <cell r="L55">
            <v>96.990697674418598</v>
          </cell>
          <cell r="M55">
            <v>10.386046511627907</v>
          </cell>
          <cell r="N55">
            <v>24</v>
          </cell>
          <cell r="O55">
            <v>558.14285714285688</v>
          </cell>
          <cell r="P55">
            <v>300</v>
          </cell>
          <cell r="Q55" t="str">
            <v xml:space="preserve"> wly sale(upper</v>
          </cell>
          <cell r="R55">
            <v>645</v>
          </cell>
          <cell r="S55" t="str">
            <v>Reg Replen</v>
          </cell>
          <cell r="T55" t="str">
            <v xml:space="preserve"> </v>
          </cell>
          <cell r="U55">
            <v>501</v>
          </cell>
          <cell r="V55">
            <v>61</v>
          </cell>
          <cell r="W55">
            <v>57.491803278688529</v>
          </cell>
          <cell r="X55">
            <v>35.688524590163937</v>
          </cell>
          <cell r="Y55">
            <v>24</v>
          </cell>
          <cell r="Z55">
            <v>0</v>
          </cell>
          <cell r="AA55">
            <v>70</v>
          </cell>
          <cell r="AB55">
            <v>183</v>
          </cell>
          <cell r="AC55" t="str">
            <v>wly(lower-20</v>
          </cell>
          <cell r="AD55" t="str">
            <v>Overstock</v>
          </cell>
        </row>
        <row r="56">
          <cell r="A56" t="str">
            <v>US71</v>
          </cell>
          <cell r="B56" t="str">
            <v>Willowbrook</v>
          </cell>
          <cell r="C56" t="str">
            <v>TX</v>
          </cell>
          <cell r="D56" t="str">
            <v>B</v>
          </cell>
          <cell r="E56">
            <v>4</v>
          </cell>
          <cell r="F56">
            <v>1</v>
          </cell>
          <cell r="G56">
            <v>2800</v>
          </cell>
          <cell r="H56">
            <v>400</v>
          </cell>
          <cell r="I56">
            <v>0.95</v>
          </cell>
          <cell r="J56">
            <v>3344</v>
          </cell>
          <cell r="K56">
            <v>210</v>
          </cell>
          <cell r="L56">
            <v>111.46666666666667</v>
          </cell>
          <cell r="M56">
            <v>22.8</v>
          </cell>
          <cell r="N56">
            <v>24</v>
          </cell>
          <cell r="O56">
            <v>176</v>
          </cell>
          <cell r="P56">
            <v>300</v>
          </cell>
          <cell r="Q56" t="str">
            <v xml:space="preserve"> wly sale(upper</v>
          </cell>
          <cell r="R56">
            <v>630</v>
          </cell>
          <cell r="S56" t="str">
            <v>Reg Replen</v>
          </cell>
          <cell r="T56" t="str">
            <v xml:space="preserve"> </v>
          </cell>
          <cell r="U56">
            <v>751</v>
          </cell>
          <cell r="V56">
            <v>82</v>
          </cell>
          <cell r="W56">
            <v>64.109756097560975</v>
          </cell>
          <cell r="X56">
            <v>31.670731707317074</v>
          </cell>
          <cell r="Y56">
            <v>24</v>
          </cell>
          <cell r="Z56">
            <v>0</v>
          </cell>
          <cell r="AA56">
            <v>90</v>
          </cell>
          <cell r="AB56">
            <v>246</v>
          </cell>
          <cell r="AC56" t="str">
            <v>wly(lower-20</v>
          </cell>
          <cell r="AD56" t="str">
            <v>Reg Replen</v>
          </cell>
        </row>
        <row r="57">
          <cell r="A57" t="str">
            <v>US72</v>
          </cell>
          <cell r="B57" t="str">
            <v>First Colony</v>
          </cell>
          <cell r="C57" t="str">
            <v>TX</v>
          </cell>
          <cell r="D57" t="str">
            <v>B</v>
          </cell>
          <cell r="E57">
            <v>4</v>
          </cell>
          <cell r="F57">
            <v>1</v>
          </cell>
          <cell r="G57">
            <v>2800</v>
          </cell>
          <cell r="H57">
            <v>400</v>
          </cell>
          <cell r="I57">
            <v>0.9</v>
          </cell>
          <cell r="J57">
            <v>3363</v>
          </cell>
          <cell r="K57">
            <v>195</v>
          </cell>
          <cell r="L57">
            <v>120.72307692307692</v>
          </cell>
          <cell r="M57">
            <v>30.261538461538461</v>
          </cell>
          <cell r="N57">
            <v>24</v>
          </cell>
          <cell r="O57">
            <v>105.57142857142844</v>
          </cell>
          <cell r="P57">
            <v>200</v>
          </cell>
          <cell r="Q57" t="str">
            <v xml:space="preserve"> wly sale(lower</v>
          </cell>
          <cell r="R57">
            <v>585</v>
          </cell>
          <cell r="S57" t="str">
            <v>Reg Replen</v>
          </cell>
          <cell r="T57" t="str">
            <v xml:space="preserve"> </v>
          </cell>
          <cell r="U57">
            <v>745</v>
          </cell>
          <cell r="V57">
            <v>99</v>
          </cell>
          <cell r="W57">
            <v>52.676767676767682</v>
          </cell>
          <cell r="X57">
            <v>27.222222222222221</v>
          </cell>
          <cell r="Y57">
            <v>24</v>
          </cell>
          <cell r="Z57">
            <v>0</v>
          </cell>
          <cell r="AA57">
            <v>100</v>
          </cell>
          <cell r="AB57">
            <v>297</v>
          </cell>
          <cell r="AC57" t="str">
            <v>wly(lower-20</v>
          </cell>
          <cell r="AD57" t="str">
            <v>Reg Replen</v>
          </cell>
        </row>
        <row r="58">
          <cell r="A58" t="str">
            <v>US73</v>
          </cell>
          <cell r="B58" t="str">
            <v>CO-TX-Deerbrook</v>
          </cell>
          <cell r="C58" t="str">
            <v>TX</v>
          </cell>
          <cell r="D58" t="str">
            <v>C</v>
          </cell>
          <cell r="E58">
            <v>4</v>
          </cell>
          <cell r="F58">
            <v>1</v>
          </cell>
          <cell r="G58">
            <v>2800</v>
          </cell>
          <cell r="H58">
            <v>400</v>
          </cell>
          <cell r="I58">
            <v>0.9</v>
          </cell>
          <cell r="J58">
            <v>2851</v>
          </cell>
          <cell r="K58">
            <v>224</v>
          </cell>
          <cell r="L58">
            <v>89.09375</v>
          </cell>
          <cell r="M58">
            <v>10.34375</v>
          </cell>
          <cell r="N58">
            <v>17</v>
          </cell>
          <cell r="O58">
            <v>493</v>
          </cell>
          <cell r="P58">
            <v>300</v>
          </cell>
          <cell r="Q58" t="str">
            <v xml:space="preserve"> wly sale(upper</v>
          </cell>
          <cell r="R58">
            <v>672</v>
          </cell>
          <cell r="S58" t="str">
            <v>Reg Replen</v>
          </cell>
          <cell r="T58" t="str">
            <v xml:space="preserve"> </v>
          </cell>
          <cell r="U58">
            <v>568</v>
          </cell>
          <cell r="V58">
            <v>112</v>
          </cell>
          <cell r="W58">
            <v>35.5</v>
          </cell>
          <cell r="X58">
            <v>13</v>
          </cell>
          <cell r="Y58">
            <v>17</v>
          </cell>
          <cell r="Z58">
            <v>104</v>
          </cell>
          <cell r="AA58">
            <v>140</v>
          </cell>
          <cell r="AB58">
            <v>336</v>
          </cell>
          <cell r="AC58" t="str">
            <v>wly(lower</v>
          </cell>
          <cell r="AD58" t="str">
            <v>Reg Replen</v>
          </cell>
        </row>
        <row r="59">
          <cell r="A59" t="str">
            <v>US74</v>
          </cell>
          <cell r="B59" t="str">
            <v>CO-NCA-Great Mall</v>
          </cell>
          <cell r="C59" t="str">
            <v>CA</v>
          </cell>
          <cell r="D59" t="str">
            <v>A</v>
          </cell>
          <cell r="E59">
            <v>4</v>
          </cell>
          <cell r="F59">
            <v>1</v>
          </cell>
          <cell r="G59">
            <v>2800</v>
          </cell>
          <cell r="H59">
            <v>400</v>
          </cell>
          <cell r="I59">
            <v>1</v>
          </cell>
          <cell r="J59">
            <v>2655</v>
          </cell>
          <cell r="K59">
            <v>429</v>
          </cell>
          <cell r="L59">
            <v>43.32167832167832</v>
          </cell>
          <cell r="M59">
            <v>-2.3659673659673661</v>
          </cell>
          <cell r="N59">
            <v>17</v>
          </cell>
          <cell r="O59">
            <v>1186.8571428571431</v>
          </cell>
          <cell r="P59">
            <v>500</v>
          </cell>
          <cell r="Q59" t="str">
            <v xml:space="preserve"> wly sale(upper</v>
          </cell>
          <cell r="R59">
            <v>1287</v>
          </cell>
          <cell r="S59" t="str">
            <v>Understock</v>
          </cell>
          <cell r="T59" t="str">
            <v>Decrease Display</v>
          </cell>
          <cell r="U59">
            <v>1242</v>
          </cell>
          <cell r="V59">
            <v>152</v>
          </cell>
          <cell r="W59">
            <v>57.19736842105263</v>
          </cell>
          <cell r="X59">
            <v>38.776315789473685</v>
          </cell>
          <cell r="Y59">
            <v>17</v>
          </cell>
          <cell r="Z59">
            <v>0</v>
          </cell>
          <cell r="AA59">
            <v>160</v>
          </cell>
          <cell r="AB59">
            <v>456</v>
          </cell>
          <cell r="AC59" t="str">
            <v>wly(lower-20</v>
          </cell>
          <cell r="AD59" t="str">
            <v>Overstock</v>
          </cell>
        </row>
        <row r="60">
          <cell r="A60" t="str">
            <v>US75</v>
          </cell>
          <cell r="B60" t="str">
            <v>Stoneridge</v>
          </cell>
          <cell r="C60" t="str">
            <v>CA</v>
          </cell>
          <cell r="D60" t="str">
            <v>B</v>
          </cell>
          <cell r="E60">
            <v>4</v>
          </cell>
          <cell r="F60">
            <v>1</v>
          </cell>
          <cell r="G60">
            <v>2800</v>
          </cell>
          <cell r="H60">
            <v>400</v>
          </cell>
          <cell r="I60">
            <v>0.95</v>
          </cell>
          <cell r="J60">
            <v>2436</v>
          </cell>
          <cell r="K60">
            <v>240</v>
          </cell>
          <cell r="L60">
            <v>71.05</v>
          </cell>
          <cell r="M60">
            <v>-6.5333333333333332</v>
          </cell>
          <cell r="N60">
            <v>17</v>
          </cell>
          <cell r="O60">
            <v>946.85714285714312</v>
          </cell>
          <cell r="P60">
            <v>300</v>
          </cell>
          <cell r="Q60" t="str">
            <v xml:space="preserve"> wly sale(upper</v>
          </cell>
          <cell r="R60">
            <v>720</v>
          </cell>
          <cell r="S60" t="str">
            <v>Understock</v>
          </cell>
          <cell r="T60" t="str">
            <v>Decrease Display</v>
          </cell>
          <cell r="U60">
            <v>647</v>
          </cell>
          <cell r="V60">
            <v>89</v>
          </cell>
          <cell r="W60">
            <v>50.887640449438209</v>
          </cell>
          <cell r="X60">
            <v>21</v>
          </cell>
          <cell r="Y60">
            <v>17</v>
          </cell>
          <cell r="Z60">
            <v>0</v>
          </cell>
          <cell r="AA60">
            <v>90</v>
          </cell>
          <cell r="AB60">
            <v>267</v>
          </cell>
          <cell r="AC60" t="str">
            <v>wly(lower</v>
          </cell>
          <cell r="AD60" t="str">
            <v>Reg Replen</v>
          </cell>
        </row>
        <row r="61">
          <cell r="A61" t="str">
            <v>US76</v>
          </cell>
          <cell r="B61" t="str">
            <v>Livermore</v>
          </cell>
          <cell r="C61" t="str">
            <v>CA</v>
          </cell>
          <cell r="D61" t="str">
            <v>B</v>
          </cell>
          <cell r="E61">
            <v>4</v>
          </cell>
          <cell r="F61">
            <v>1</v>
          </cell>
          <cell r="G61">
            <v>2800</v>
          </cell>
          <cell r="H61">
            <v>400</v>
          </cell>
          <cell r="I61">
            <v>0.9</v>
          </cell>
          <cell r="J61">
            <v>3272</v>
          </cell>
          <cell r="K61">
            <v>328</v>
          </cell>
          <cell r="L61">
            <v>69.829268292682926</v>
          </cell>
          <cell r="M61">
            <v>16.04878048780488</v>
          </cell>
          <cell r="N61">
            <v>17</v>
          </cell>
          <cell r="O61">
            <v>324.57142857142844</v>
          </cell>
          <cell r="P61">
            <v>400</v>
          </cell>
          <cell r="Q61" t="str">
            <v xml:space="preserve"> wly sale(upper</v>
          </cell>
          <cell r="R61">
            <v>984</v>
          </cell>
          <cell r="S61" t="str">
            <v>Reg Replen</v>
          </cell>
          <cell r="T61" t="str">
            <v xml:space="preserve"> </v>
          </cell>
          <cell r="U61">
            <v>703</v>
          </cell>
          <cell r="V61">
            <v>94</v>
          </cell>
          <cell r="W61">
            <v>52.351063829787236</v>
          </cell>
          <cell r="X61">
            <v>25.542553191489361</v>
          </cell>
          <cell r="Y61">
            <v>17</v>
          </cell>
          <cell r="Z61">
            <v>0</v>
          </cell>
          <cell r="AA61">
            <v>100</v>
          </cell>
          <cell r="AB61">
            <v>282</v>
          </cell>
          <cell r="AC61" t="str">
            <v>wly(lower</v>
          </cell>
          <cell r="AD61" t="str">
            <v>Reg Replen</v>
          </cell>
        </row>
        <row r="62">
          <cell r="A62" t="str">
            <v>US77</v>
          </cell>
          <cell r="B62" t="str">
            <v>Ontario</v>
          </cell>
          <cell r="C62" t="str">
            <v>CA</v>
          </cell>
          <cell r="D62" t="str">
            <v>A</v>
          </cell>
          <cell r="E62">
            <v>4</v>
          </cell>
          <cell r="F62">
            <v>1</v>
          </cell>
          <cell r="G62">
            <v>2800</v>
          </cell>
          <cell r="H62">
            <v>400</v>
          </cell>
          <cell r="I62">
            <v>1</v>
          </cell>
          <cell r="J62">
            <v>3266</v>
          </cell>
          <cell r="K62">
            <v>270</v>
          </cell>
          <cell r="L62">
            <v>84.674074074074085</v>
          </cell>
          <cell r="M62">
            <v>12.081481481481482</v>
          </cell>
          <cell r="N62">
            <v>24</v>
          </cell>
          <cell r="O62">
            <v>459.71428571428578</v>
          </cell>
          <cell r="P62">
            <v>300</v>
          </cell>
          <cell r="Q62" t="str">
            <v xml:space="preserve"> wly sale(upper</v>
          </cell>
          <cell r="R62">
            <v>810</v>
          </cell>
          <cell r="S62" t="str">
            <v>Reg Replen</v>
          </cell>
          <cell r="T62" t="str">
            <v xml:space="preserve"> </v>
          </cell>
          <cell r="U62">
            <v>633</v>
          </cell>
          <cell r="V62">
            <v>190</v>
          </cell>
          <cell r="W62">
            <v>23.321052631578947</v>
          </cell>
          <cell r="X62">
            <v>8.5842105263157897</v>
          </cell>
          <cell r="Y62">
            <v>24</v>
          </cell>
          <cell r="Z62">
            <v>418.42857142857156</v>
          </cell>
          <cell r="AA62">
            <v>210</v>
          </cell>
          <cell r="AB62">
            <v>570</v>
          </cell>
          <cell r="AC62" t="str">
            <v>wly(lower</v>
          </cell>
          <cell r="AD62" t="str">
            <v>Reg Replen</v>
          </cell>
        </row>
        <row r="63">
          <cell r="A63" t="str">
            <v>US78</v>
          </cell>
          <cell r="B63" t="str">
            <v>Memorial City</v>
          </cell>
          <cell r="C63" t="str">
            <v>TX</v>
          </cell>
          <cell r="D63" t="str">
            <v>B</v>
          </cell>
          <cell r="E63">
            <v>4</v>
          </cell>
          <cell r="F63">
            <v>1</v>
          </cell>
          <cell r="G63">
            <v>2800</v>
          </cell>
          <cell r="H63">
            <v>400</v>
          </cell>
          <cell r="I63">
            <v>0.9</v>
          </cell>
          <cell r="J63">
            <v>2351</v>
          </cell>
          <cell r="K63">
            <v>234</v>
          </cell>
          <cell r="L63">
            <v>70.32905982905983</v>
          </cell>
          <cell r="M63">
            <v>-5.0555555555555554</v>
          </cell>
          <cell r="N63">
            <v>24</v>
          </cell>
          <cell r="O63">
            <v>1251.2857142857142</v>
          </cell>
          <cell r="P63">
            <v>350</v>
          </cell>
          <cell r="Q63" t="str">
            <v xml:space="preserve"> wly sale+50</v>
          </cell>
          <cell r="R63">
            <v>702</v>
          </cell>
          <cell r="S63" t="str">
            <v>Understock</v>
          </cell>
          <cell r="T63" t="str">
            <v>Decrease Display</v>
          </cell>
          <cell r="U63">
            <v>389</v>
          </cell>
          <cell r="V63">
            <v>56</v>
          </cell>
          <cell r="W63">
            <v>48.625</v>
          </cell>
          <cell r="X63">
            <v>3.625</v>
          </cell>
          <cell r="Y63">
            <v>24</v>
          </cell>
          <cell r="Z63">
            <v>203</v>
          </cell>
          <cell r="AA63">
            <v>110</v>
          </cell>
          <cell r="AB63">
            <v>168</v>
          </cell>
          <cell r="AC63" t="str">
            <v>wly(upper</v>
          </cell>
          <cell r="AD63" t="str">
            <v>Understock</v>
          </cell>
        </row>
        <row r="64">
          <cell r="A64" t="str">
            <v>US80</v>
          </cell>
          <cell r="B64" t="str">
            <v>CO-WA-Southcenter</v>
          </cell>
          <cell r="C64" t="str">
            <v>WA</v>
          </cell>
          <cell r="D64" t="str">
            <v>A</v>
          </cell>
          <cell r="E64">
            <v>4</v>
          </cell>
          <cell r="F64">
            <v>1</v>
          </cell>
          <cell r="G64">
            <v>2800</v>
          </cell>
          <cell r="H64">
            <v>400</v>
          </cell>
          <cell r="I64">
            <v>1</v>
          </cell>
          <cell r="J64">
            <v>3835</v>
          </cell>
          <cell r="K64">
            <v>428</v>
          </cell>
          <cell r="L64">
            <v>62.721962616822424</v>
          </cell>
          <cell r="M64">
            <v>16.927570093457945</v>
          </cell>
          <cell r="N64">
            <v>24</v>
          </cell>
          <cell r="O64">
            <v>432.42857142857156</v>
          </cell>
          <cell r="P64">
            <v>500</v>
          </cell>
          <cell r="Q64" t="str">
            <v xml:space="preserve"> wly sale(upper</v>
          </cell>
          <cell r="R64">
            <v>1284</v>
          </cell>
          <cell r="S64" t="str">
            <v>Reg Replen</v>
          </cell>
          <cell r="T64" t="str">
            <v xml:space="preserve"> </v>
          </cell>
          <cell r="U64">
            <v>1369</v>
          </cell>
          <cell r="V64">
            <v>160</v>
          </cell>
          <cell r="W64">
            <v>59.893749999999997</v>
          </cell>
          <cell r="X64">
            <v>42.393749999999997</v>
          </cell>
          <cell r="Y64">
            <v>24</v>
          </cell>
          <cell r="Z64">
            <v>0</v>
          </cell>
          <cell r="AA64">
            <v>160</v>
          </cell>
          <cell r="AB64">
            <v>480</v>
          </cell>
          <cell r="AC64" t="str">
            <v>wly(lower-20</v>
          </cell>
          <cell r="AD64" t="str">
            <v>Overstock</v>
          </cell>
        </row>
        <row r="65">
          <cell r="A65" t="str">
            <v>US81</v>
          </cell>
          <cell r="B65" t="str">
            <v>CO-TX-Katy Mills</v>
          </cell>
          <cell r="C65" t="str">
            <v>TX</v>
          </cell>
          <cell r="D65" t="str">
            <v>B</v>
          </cell>
          <cell r="E65">
            <v>4</v>
          </cell>
          <cell r="F65">
            <v>1</v>
          </cell>
          <cell r="G65">
            <v>2800</v>
          </cell>
          <cell r="H65">
            <v>400</v>
          </cell>
          <cell r="I65">
            <v>0.95</v>
          </cell>
          <cell r="J65">
            <v>2913</v>
          </cell>
          <cell r="K65">
            <v>164</v>
          </cell>
          <cell r="L65">
            <v>124.33536585365854</v>
          </cell>
          <cell r="M65">
            <v>10.798780487804878</v>
          </cell>
          <cell r="N65">
            <v>24</v>
          </cell>
          <cell r="O65">
            <v>449.28571428571422</v>
          </cell>
          <cell r="P65">
            <v>200</v>
          </cell>
          <cell r="Q65" t="str">
            <v xml:space="preserve"> wly sale(upper</v>
          </cell>
          <cell r="R65">
            <v>492</v>
          </cell>
          <cell r="S65" t="str">
            <v>Reg Replen</v>
          </cell>
          <cell r="T65" t="str">
            <v xml:space="preserve"> </v>
          </cell>
          <cell r="U65">
            <v>515</v>
          </cell>
          <cell r="V65">
            <v>103</v>
          </cell>
          <cell r="W65">
            <v>35</v>
          </cell>
          <cell r="X65">
            <v>9.1747572815533989</v>
          </cell>
          <cell r="Y65">
            <v>24</v>
          </cell>
          <cell r="Z65">
            <v>238.14285714285711</v>
          </cell>
          <cell r="AA65">
            <v>130</v>
          </cell>
          <cell r="AB65">
            <v>309</v>
          </cell>
          <cell r="AC65" t="str">
            <v>wly(lower</v>
          </cell>
          <cell r="AD65" t="str">
            <v>Reg Replen</v>
          </cell>
        </row>
        <row r="66">
          <cell r="A66" t="str">
            <v>US82</v>
          </cell>
          <cell r="B66" t="str">
            <v>CO-TX-Grapevine Mills</v>
          </cell>
          <cell r="C66" t="str">
            <v>TX</v>
          </cell>
          <cell r="D66" t="str">
            <v>B</v>
          </cell>
          <cell r="E66">
            <v>2</v>
          </cell>
          <cell r="F66">
            <v>1</v>
          </cell>
          <cell r="G66">
            <v>2000</v>
          </cell>
          <cell r="H66">
            <v>400</v>
          </cell>
          <cell r="I66">
            <v>0.9</v>
          </cell>
          <cell r="J66">
            <v>3243</v>
          </cell>
          <cell r="K66">
            <v>192</v>
          </cell>
          <cell r="L66">
            <v>118.234375</v>
          </cell>
          <cell r="M66">
            <v>52.609375</v>
          </cell>
          <cell r="N66">
            <v>24</v>
          </cell>
          <cell r="O66">
            <v>0</v>
          </cell>
          <cell r="P66">
            <v>200</v>
          </cell>
          <cell r="Q66" t="str">
            <v xml:space="preserve"> wly sale(lower</v>
          </cell>
          <cell r="R66">
            <v>576</v>
          </cell>
          <cell r="S66" t="str">
            <v>Overstock</v>
          </cell>
          <cell r="T66" t="str">
            <v xml:space="preserve"> </v>
          </cell>
          <cell r="U66">
            <v>635</v>
          </cell>
          <cell r="V66">
            <v>107</v>
          </cell>
          <cell r="W66">
            <v>41.54205607476635</v>
          </cell>
          <cell r="X66">
            <v>17.990654205607477</v>
          </cell>
          <cell r="Y66">
            <v>24</v>
          </cell>
          <cell r="Z66">
            <v>131.85714285714289</v>
          </cell>
          <cell r="AA66">
            <v>130</v>
          </cell>
          <cell r="AB66">
            <v>321</v>
          </cell>
          <cell r="AC66" t="str">
            <v>wly(lower</v>
          </cell>
          <cell r="AD66" t="str">
            <v>Reg Replen</v>
          </cell>
        </row>
        <row r="67">
          <cell r="A67" t="str">
            <v>US83</v>
          </cell>
          <cell r="B67" t="str">
            <v>CO-TX-Stonebriar Centre</v>
          </cell>
          <cell r="C67" t="str">
            <v>TX</v>
          </cell>
          <cell r="D67" t="str">
            <v>A</v>
          </cell>
          <cell r="E67">
            <v>2</v>
          </cell>
          <cell r="F67">
            <v>1</v>
          </cell>
          <cell r="G67">
            <v>2000</v>
          </cell>
          <cell r="H67">
            <v>400</v>
          </cell>
          <cell r="I67">
            <v>1</v>
          </cell>
          <cell r="J67">
            <v>4054</v>
          </cell>
          <cell r="K67">
            <v>255</v>
          </cell>
          <cell r="L67">
            <v>111.28627450980392</v>
          </cell>
          <cell r="M67">
            <v>56.384313725490195</v>
          </cell>
          <cell r="N67">
            <v>24</v>
          </cell>
          <cell r="O67">
            <v>0</v>
          </cell>
          <cell r="P67">
            <v>210</v>
          </cell>
          <cell r="Q67" t="str">
            <v xml:space="preserve"> wly sale(lower-50</v>
          </cell>
          <cell r="R67">
            <v>765</v>
          </cell>
          <cell r="S67" t="str">
            <v>Overstock</v>
          </cell>
          <cell r="T67" t="str">
            <v xml:space="preserve"> </v>
          </cell>
          <cell r="U67">
            <v>803</v>
          </cell>
          <cell r="V67">
            <v>96</v>
          </cell>
          <cell r="W67">
            <v>58.552083333333336</v>
          </cell>
          <cell r="X67">
            <v>29.385416666666668</v>
          </cell>
          <cell r="Y67">
            <v>24</v>
          </cell>
          <cell r="Z67">
            <v>0</v>
          </cell>
          <cell r="AA67">
            <v>100</v>
          </cell>
          <cell r="AB67">
            <v>288</v>
          </cell>
          <cell r="AC67" t="str">
            <v>wly(lower-20</v>
          </cell>
          <cell r="AD67" t="str">
            <v>Reg Replen</v>
          </cell>
        </row>
        <row r="68">
          <cell r="A68" t="str">
            <v>US84</v>
          </cell>
          <cell r="B68" t="str">
            <v>CO-TX-Hulen Mall</v>
          </cell>
          <cell r="C68" t="str">
            <v>TX</v>
          </cell>
          <cell r="D68" t="str">
            <v>C</v>
          </cell>
          <cell r="E68">
            <v>2</v>
          </cell>
          <cell r="F68">
            <v>1</v>
          </cell>
          <cell r="G68">
            <v>2000</v>
          </cell>
          <cell r="H68">
            <v>400</v>
          </cell>
          <cell r="I68">
            <v>0.95</v>
          </cell>
          <cell r="J68">
            <v>2471</v>
          </cell>
          <cell r="K68">
            <v>150</v>
          </cell>
          <cell r="L68">
            <v>115.31333333333335</v>
          </cell>
          <cell r="M68">
            <v>26.646666666666668</v>
          </cell>
          <cell r="N68">
            <v>24</v>
          </cell>
          <cell r="O68">
            <v>43.285714285714221</v>
          </cell>
          <cell r="P68">
            <v>150</v>
          </cell>
          <cell r="Q68" t="str">
            <v xml:space="preserve"> wly sale(lower</v>
          </cell>
          <cell r="R68">
            <v>450</v>
          </cell>
          <cell r="S68" t="str">
            <v>Reg Replen</v>
          </cell>
          <cell r="T68" t="str">
            <v xml:space="preserve"> </v>
          </cell>
          <cell r="U68">
            <v>571</v>
          </cell>
          <cell r="V68">
            <v>51</v>
          </cell>
          <cell r="W68">
            <v>78.372549019607845</v>
          </cell>
          <cell r="X68">
            <v>26.215686274509803</v>
          </cell>
          <cell r="Y68">
            <v>24</v>
          </cell>
          <cell r="Z68">
            <v>3.8571428571428896</v>
          </cell>
          <cell r="AA68">
            <v>60</v>
          </cell>
          <cell r="AB68">
            <v>153</v>
          </cell>
          <cell r="AC68" t="str">
            <v>wly(lower-20</v>
          </cell>
          <cell r="AD68" t="str">
            <v>Reg Replen</v>
          </cell>
        </row>
        <row r="69">
          <cell r="A69" t="str">
            <v>US85</v>
          </cell>
          <cell r="B69" t="str">
            <v>CO-TX-Parks at Arlington</v>
          </cell>
          <cell r="C69" t="str">
            <v>TX</v>
          </cell>
          <cell r="D69" t="str">
            <v>B</v>
          </cell>
          <cell r="E69">
            <v>2</v>
          </cell>
          <cell r="F69">
            <v>1</v>
          </cell>
          <cell r="G69">
            <v>2000</v>
          </cell>
          <cell r="H69">
            <v>400</v>
          </cell>
          <cell r="I69">
            <v>0.95</v>
          </cell>
          <cell r="J69">
            <v>2532</v>
          </cell>
          <cell r="K69">
            <v>127</v>
          </cell>
          <cell r="L69">
            <v>139.55905511811025</v>
          </cell>
          <cell r="M69">
            <v>34.834645669291341</v>
          </cell>
          <cell r="N69">
            <v>24</v>
          </cell>
          <cell r="O69">
            <v>0</v>
          </cell>
          <cell r="P69">
            <v>130</v>
          </cell>
          <cell r="Q69" t="str">
            <v xml:space="preserve"> wly sale(lower</v>
          </cell>
          <cell r="R69">
            <v>381</v>
          </cell>
          <cell r="S69" t="str">
            <v>Reg Replen</v>
          </cell>
          <cell r="T69" t="str">
            <v xml:space="preserve"> </v>
          </cell>
          <cell r="U69">
            <v>739</v>
          </cell>
          <cell r="V69">
            <v>73</v>
          </cell>
          <cell r="W69">
            <v>70.863013698630141</v>
          </cell>
          <cell r="X69">
            <v>34.424657534246577</v>
          </cell>
          <cell r="Y69">
            <v>24</v>
          </cell>
          <cell r="Z69">
            <v>0</v>
          </cell>
          <cell r="AA69">
            <v>80</v>
          </cell>
          <cell r="AB69">
            <v>219</v>
          </cell>
          <cell r="AC69" t="str">
            <v>wly(lower-20</v>
          </cell>
          <cell r="AD69" t="str">
            <v>Reg Replen</v>
          </cell>
        </row>
        <row r="70">
          <cell r="A70" t="str">
            <v>US86</v>
          </cell>
          <cell r="B70" t="str">
            <v>CO-FL-Pembroke Lakes Mall</v>
          </cell>
          <cell r="C70" t="str">
            <v>FL</v>
          </cell>
          <cell r="D70" t="str">
            <v>B</v>
          </cell>
          <cell r="E70">
            <v>2</v>
          </cell>
          <cell r="F70">
            <v>1</v>
          </cell>
          <cell r="G70">
            <v>2000</v>
          </cell>
          <cell r="H70">
            <v>400</v>
          </cell>
          <cell r="I70">
            <v>0.9</v>
          </cell>
          <cell r="J70">
            <v>1845</v>
          </cell>
          <cell r="K70">
            <v>154</v>
          </cell>
          <cell r="L70">
            <v>83.86363636363636</v>
          </cell>
          <cell r="M70">
            <v>2.0454545454545454</v>
          </cell>
          <cell r="N70">
            <v>25</v>
          </cell>
          <cell r="O70">
            <v>705</v>
          </cell>
          <cell r="P70">
            <v>200</v>
          </cell>
          <cell r="Q70" t="str">
            <v xml:space="preserve"> wly sale(upper</v>
          </cell>
          <cell r="R70">
            <v>462</v>
          </cell>
          <cell r="S70" t="str">
            <v>Understock</v>
          </cell>
          <cell r="T70" t="str">
            <v>Decrease Display</v>
          </cell>
          <cell r="U70">
            <v>557</v>
          </cell>
          <cell r="V70">
            <v>110</v>
          </cell>
          <cell r="W70">
            <v>35.445454545454545</v>
          </cell>
          <cell r="X70">
            <v>12.536363636363637</v>
          </cell>
          <cell r="Y70">
            <v>25</v>
          </cell>
          <cell r="Z70">
            <v>235.85714285714289</v>
          </cell>
          <cell r="AA70">
            <v>130</v>
          </cell>
          <cell r="AB70">
            <v>330</v>
          </cell>
          <cell r="AC70" t="str">
            <v>wly(lower</v>
          </cell>
          <cell r="AD70" t="str">
            <v>Reg Replen</v>
          </cell>
        </row>
        <row r="71">
          <cell r="A71" t="str">
            <v>US94</v>
          </cell>
          <cell r="B71" t="str">
            <v>Fashion Show</v>
          </cell>
          <cell r="C71" t="str">
            <v>NV</v>
          </cell>
          <cell r="D71" t="str">
            <v>A</v>
          </cell>
          <cell r="E71">
            <v>3</v>
          </cell>
          <cell r="F71">
            <v>1</v>
          </cell>
          <cell r="G71">
            <v>2400</v>
          </cell>
          <cell r="H71">
            <v>500</v>
          </cell>
          <cell r="I71">
            <v>1</v>
          </cell>
          <cell r="J71">
            <v>4445</v>
          </cell>
          <cell r="K71">
            <v>569</v>
          </cell>
          <cell r="L71">
            <v>54.683655536028112</v>
          </cell>
          <cell r="M71">
            <v>25.158172231985937</v>
          </cell>
          <cell r="N71">
            <v>17</v>
          </cell>
          <cell r="O71">
            <v>0</v>
          </cell>
          <cell r="P71">
            <v>600</v>
          </cell>
          <cell r="Q71" t="str">
            <v xml:space="preserve"> wly sale(upper</v>
          </cell>
          <cell r="R71">
            <v>1707</v>
          </cell>
          <cell r="S71" t="str">
            <v>Reg Replen</v>
          </cell>
          <cell r="T71" t="str">
            <v xml:space="preserve"> </v>
          </cell>
          <cell r="U71">
            <v>1014</v>
          </cell>
          <cell r="V71">
            <v>258</v>
          </cell>
          <cell r="W71">
            <v>27.511627906976745</v>
          </cell>
          <cell r="X71">
            <v>13.945736434108529</v>
          </cell>
          <cell r="Y71">
            <v>17</v>
          </cell>
          <cell r="Z71">
            <v>112.57142857142844</v>
          </cell>
          <cell r="AA71">
            <v>280</v>
          </cell>
          <cell r="AB71">
            <v>774</v>
          </cell>
          <cell r="AC71" t="str">
            <v>wly(lower</v>
          </cell>
          <cell r="AD71" t="str">
            <v>Reg Replen</v>
          </cell>
        </row>
        <row r="72">
          <cell r="A72" t="str">
            <v>US95</v>
          </cell>
          <cell r="B72" t="str">
            <v>Galleria at Sunset</v>
          </cell>
          <cell r="C72" t="str">
            <v>NV</v>
          </cell>
          <cell r="D72" t="str">
            <v>B</v>
          </cell>
          <cell r="E72">
            <v>2</v>
          </cell>
          <cell r="F72">
            <v>1</v>
          </cell>
          <cell r="G72">
            <v>2000</v>
          </cell>
          <cell r="H72">
            <v>500</v>
          </cell>
          <cell r="I72">
            <v>0.95</v>
          </cell>
          <cell r="J72">
            <v>2616</v>
          </cell>
          <cell r="K72">
            <v>338</v>
          </cell>
          <cell r="L72">
            <v>54.177514792899409</v>
          </cell>
          <cell r="M72">
            <v>14.828402366863905</v>
          </cell>
          <cell r="N72">
            <v>17</v>
          </cell>
          <cell r="O72">
            <v>204.85714285714312</v>
          </cell>
          <cell r="P72">
            <v>400</v>
          </cell>
          <cell r="Q72" t="str">
            <v xml:space="preserve"> wly sale(upper</v>
          </cell>
          <cell r="R72">
            <v>1014</v>
          </cell>
          <cell r="S72" t="str">
            <v>Reg Replen</v>
          </cell>
          <cell r="T72" t="str">
            <v xml:space="preserve"> </v>
          </cell>
          <cell r="U72">
            <v>462</v>
          </cell>
          <cell r="V72">
            <v>167</v>
          </cell>
          <cell r="W72">
            <v>19.365269461077844</v>
          </cell>
          <cell r="X72">
            <v>-0.54491017964071853</v>
          </cell>
          <cell r="Y72">
            <v>17</v>
          </cell>
          <cell r="Z72">
            <v>443.57142857142856</v>
          </cell>
          <cell r="AA72">
            <v>220</v>
          </cell>
          <cell r="AB72">
            <v>501</v>
          </cell>
          <cell r="AC72" t="str">
            <v>wly(upper</v>
          </cell>
          <cell r="AD72" t="str">
            <v>Understock</v>
          </cell>
        </row>
        <row r="73">
          <cell r="A73" t="str">
            <v>US96</v>
          </cell>
          <cell r="B73" t="str">
            <v>Clackamas</v>
          </cell>
          <cell r="C73" t="str">
            <v>OR</v>
          </cell>
          <cell r="D73" t="str">
            <v>B</v>
          </cell>
          <cell r="E73">
            <v>3</v>
          </cell>
          <cell r="F73">
            <v>1</v>
          </cell>
          <cell r="G73">
            <v>2400</v>
          </cell>
          <cell r="H73">
            <v>500</v>
          </cell>
          <cell r="I73">
            <v>0.9</v>
          </cell>
          <cell r="J73">
            <v>3122</v>
          </cell>
          <cell r="K73">
            <v>439</v>
          </cell>
          <cell r="L73">
            <v>49.781321184510247</v>
          </cell>
          <cell r="M73">
            <v>15.339407744874714</v>
          </cell>
          <cell r="N73">
            <v>17</v>
          </cell>
          <cell r="O73">
            <v>344.14285714285688</v>
          </cell>
          <cell r="P73">
            <v>500</v>
          </cell>
          <cell r="Q73" t="str">
            <v xml:space="preserve"> wly sale(upper</v>
          </cell>
          <cell r="R73">
            <v>1317</v>
          </cell>
          <cell r="S73" t="str">
            <v>Reg Replen</v>
          </cell>
          <cell r="T73" t="str">
            <v xml:space="preserve"> </v>
          </cell>
          <cell r="U73">
            <v>906</v>
          </cell>
          <cell r="V73">
            <v>189</v>
          </cell>
          <cell r="W73">
            <v>33.555555555555557</v>
          </cell>
          <cell r="X73">
            <v>16.888888888888889</v>
          </cell>
          <cell r="Y73">
            <v>24</v>
          </cell>
          <cell r="Z73">
            <v>242</v>
          </cell>
          <cell r="AA73">
            <v>210</v>
          </cell>
          <cell r="AB73">
            <v>567</v>
          </cell>
          <cell r="AC73" t="str">
            <v>wly(lower</v>
          </cell>
          <cell r="AD73" t="str">
            <v>Reg Replen</v>
          </cell>
        </row>
        <row r="74">
          <cell r="A74" t="str">
            <v>US97</v>
          </cell>
          <cell r="B74" t="str">
            <v>Northridge Fashion Center</v>
          </cell>
          <cell r="C74" t="str">
            <v>CA</v>
          </cell>
          <cell r="D74" t="str">
            <v>A</v>
          </cell>
          <cell r="E74">
            <v>4</v>
          </cell>
          <cell r="F74">
            <v>1</v>
          </cell>
          <cell r="G74">
            <v>2800</v>
          </cell>
          <cell r="H74">
            <v>500</v>
          </cell>
          <cell r="I74">
            <v>1</v>
          </cell>
          <cell r="J74">
            <v>5140</v>
          </cell>
          <cell r="K74">
            <v>465</v>
          </cell>
          <cell r="L74">
            <v>77.376344086021504</v>
          </cell>
          <cell r="M74">
            <v>35.225806451612904</v>
          </cell>
          <cell r="N74">
            <v>17</v>
          </cell>
          <cell r="O74">
            <v>0</v>
          </cell>
          <cell r="P74">
            <v>470</v>
          </cell>
          <cell r="Q74" t="str">
            <v xml:space="preserve"> wly sale(lower</v>
          </cell>
          <cell r="R74">
            <v>1395</v>
          </cell>
          <cell r="S74" t="str">
            <v>Overstock</v>
          </cell>
          <cell r="T74" t="str">
            <v xml:space="preserve"> </v>
          </cell>
          <cell r="U74">
            <v>1600</v>
          </cell>
          <cell r="V74">
            <v>191</v>
          </cell>
          <cell r="W74">
            <v>58.638743455497384</v>
          </cell>
          <cell r="X74">
            <v>40.31413612565445</v>
          </cell>
          <cell r="Y74">
            <v>17</v>
          </cell>
          <cell r="Z74">
            <v>0</v>
          </cell>
          <cell r="AA74">
            <v>200</v>
          </cell>
          <cell r="AB74">
            <v>573</v>
          </cell>
          <cell r="AC74" t="str">
            <v>wly(lower-20</v>
          </cell>
          <cell r="AD74" t="str">
            <v>Overstock</v>
          </cell>
        </row>
        <row r="75">
          <cell r="A75" t="str">
            <v>US98</v>
          </cell>
          <cell r="B75" t="str">
            <v>The Shops at Montebello</v>
          </cell>
          <cell r="C75" t="str">
            <v>CA</v>
          </cell>
          <cell r="D75" t="str">
            <v>B</v>
          </cell>
          <cell r="E75">
            <v>4</v>
          </cell>
          <cell r="F75">
            <v>1</v>
          </cell>
          <cell r="G75">
            <v>2800</v>
          </cell>
          <cell r="H75">
            <v>500</v>
          </cell>
          <cell r="I75">
            <v>0.9</v>
          </cell>
          <cell r="J75">
            <v>3143</v>
          </cell>
          <cell r="K75">
            <v>613</v>
          </cell>
          <cell r="L75">
            <v>35.890701468189235</v>
          </cell>
          <cell r="M75">
            <v>7.1141924959216967</v>
          </cell>
          <cell r="N75">
            <v>17</v>
          </cell>
          <cell r="O75">
            <v>1145.7142857142862</v>
          </cell>
          <cell r="P75">
            <v>700</v>
          </cell>
          <cell r="Q75" t="str">
            <v xml:space="preserve"> wly sale(upper</v>
          </cell>
          <cell r="R75">
            <v>1839</v>
          </cell>
          <cell r="S75" t="str">
            <v>Reg Replen</v>
          </cell>
          <cell r="T75" t="str">
            <v xml:space="preserve"> </v>
          </cell>
          <cell r="U75">
            <v>790</v>
          </cell>
          <cell r="V75">
            <v>166</v>
          </cell>
          <cell r="W75">
            <v>33.313253012048193</v>
          </cell>
          <cell r="X75">
            <v>14.33734939759036</v>
          </cell>
          <cell r="Y75">
            <v>25</v>
          </cell>
          <cell r="Z75">
            <v>302.85714285714289</v>
          </cell>
          <cell r="AA75">
            <v>190</v>
          </cell>
          <cell r="AB75">
            <v>498</v>
          </cell>
          <cell r="AC75" t="str">
            <v>wly(upper</v>
          </cell>
          <cell r="AD75" t="str">
            <v>Reg Replen</v>
          </cell>
        </row>
        <row r="76">
          <cell r="A76" t="str">
            <v>US99</v>
          </cell>
          <cell r="B76" t="str">
            <v>CO-WA-Outlet Collection Seattle</v>
          </cell>
          <cell r="C76" t="str">
            <v>WA</v>
          </cell>
          <cell r="D76" t="str">
            <v>C</v>
          </cell>
          <cell r="E76">
            <v>2</v>
          </cell>
          <cell r="F76">
            <v>1</v>
          </cell>
          <cell r="G76">
            <v>2000</v>
          </cell>
          <cell r="H76">
            <v>500</v>
          </cell>
          <cell r="I76">
            <v>0.95</v>
          </cell>
          <cell r="J76">
            <v>2592</v>
          </cell>
          <cell r="K76">
            <v>252</v>
          </cell>
          <cell r="L76">
            <v>72</v>
          </cell>
          <cell r="M76">
            <v>19.222222222222221</v>
          </cell>
          <cell r="N76">
            <v>17</v>
          </cell>
          <cell r="O76">
            <v>20</v>
          </cell>
          <cell r="P76">
            <v>300</v>
          </cell>
          <cell r="Q76" t="str">
            <v xml:space="preserve"> wly sale(upper</v>
          </cell>
          <cell r="R76">
            <v>756</v>
          </cell>
          <cell r="S76" t="str">
            <v>Reg Replen</v>
          </cell>
          <cell r="T76" t="str">
            <v xml:space="preserve"> </v>
          </cell>
          <cell r="U76">
            <v>613</v>
          </cell>
          <cell r="V76">
            <v>117</v>
          </cell>
          <cell r="W76">
            <v>36.675213675213676</v>
          </cell>
          <cell r="X76">
            <v>8.2564102564102555</v>
          </cell>
          <cell r="Y76">
            <v>17</v>
          </cell>
          <cell r="Z76">
            <v>171.14285714285711</v>
          </cell>
          <cell r="AA76">
            <v>140</v>
          </cell>
          <cell r="AB76">
            <v>351</v>
          </cell>
          <cell r="AC76" t="str">
            <v>wly(lower</v>
          </cell>
          <cell r="AD76" t="str">
            <v>Reg Replen</v>
          </cell>
        </row>
        <row r="77">
          <cell r="A77" t="str">
            <v>USA1</v>
          </cell>
          <cell r="B77" t="str">
            <v>The Oaks</v>
          </cell>
          <cell r="C77" t="str">
            <v>CA</v>
          </cell>
          <cell r="D77" t="str">
            <v>B</v>
          </cell>
          <cell r="E77">
            <v>1</v>
          </cell>
          <cell r="F77">
            <v>1</v>
          </cell>
          <cell r="G77">
            <v>1600</v>
          </cell>
          <cell r="H77">
            <v>500</v>
          </cell>
          <cell r="I77">
            <v>0.95</v>
          </cell>
          <cell r="J77">
            <v>2474</v>
          </cell>
          <cell r="K77">
            <v>285</v>
          </cell>
          <cell r="L77">
            <v>60.764912280701751</v>
          </cell>
          <cell r="M77">
            <v>23.431578947368422</v>
          </cell>
          <cell r="N77">
            <v>17</v>
          </cell>
          <cell r="O77">
            <v>0</v>
          </cell>
          <cell r="P77">
            <v>300</v>
          </cell>
          <cell r="Q77" t="str">
            <v xml:space="preserve"> wly sale(upper</v>
          </cell>
          <cell r="R77">
            <v>855</v>
          </cell>
          <cell r="S77" t="str">
            <v>Reg Replen</v>
          </cell>
          <cell r="T77" t="str">
            <v xml:space="preserve"> </v>
          </cell>
          <cell r="U77">
            <v>618</v>
          </cell>
          <cell r="V77">
            <v>101</v>
          </cell>
          <cell r="W77">
            <v>42.831683168316829</v>
          </cell>
          <cell r="X77">
            <v>9.9108910891089099</v>
          </cell>
          <cell r="Y77">
            <v>26</v>
          </cell>
          <cell r="Z77">
            <v>257.14285714285711</v>
          </cell>
          <cell r="AA77">
            <v>130</v>
          </cell>
          <cell r="AB77">
            <v>303</v>
          </cell>
          <cell r="AC77" t="str">
            <v>wly(lower</v>
          </cell>
          <cell r="AD77" t="str">
            <v>Reg Replen</v>
          </cell>
        </row>
        <row r="78">
          <cell r="A78" t="str">
            <v>USA2</v>
          </cell>
          <cell r="B78" t="str">
            <v>Vintage Faire</v>
          </cell>
          <cell r="C78" t="str">
            <v>CA</v>
          </cell>
          <cell r="D78" t="str">
            <v>B</v>
          </cell>
          <cell r="E78">
            <v>3</v>
          </cell>
          <cell r="F78">
            <v>1</v>
          </cell>
          <cell r="G78">
            <v>2400</v>
          </cell>
          <cell r="H78">
            <v>500</v>
          </cell>
          <cell r="I78">
            <v>0.9</v>
          </cell>
          <cell r="J78">
            <v>3431</v>
          </cell>
          <cell r="K78">
            <v>534</v>
          </cell>
          <cell r="L78">
            <v>44.975655430711605</v>
          </cell>
          <cell r="M78">
            <v>16.661048689138575</v>
          </cell>
          <cell r="N78">
            <v>17</v>
          </cell>
          <cell r="O78">
            <v>265.85714285714312</v>
          </cell>
          <cell r="P78">
            <v>600</v>
          </cell>
          <cell r="Q78" t="str">
            <v xml:space="preserve"> wly sale(upper</v>
          </cell>
          <cell r="R78">
            <v>1602</v>
          </cell>
          <cell r="S78" t="str">
            <v>Reg Replen</v>
          </cell>
          <cell r="T78" t="str">
            <v xml:space="preserve"> </v>
          </cell>
          <cell r="U78">
            <v>778</v>
          </cell>
          <cell r="V78">
            <v>226</v>
          </cell>
          <cell r="W78">
            <v>24.097345132743364</v>
          </cell>
          <cell r="X78">
            <v>10.159292035398231</v>
          </cell>
          <cell r="Y78">
            <v>17</v>
          </cell>
          <cell r="Z78">
            <v>270.85714285714289</v>
          </cell>
          <cell r="AA78">
            <v>250</v>
          </cell>
          <cell r="AB78">
            <v>678</v>
          </cell>
          <cell r="AC78" t="str">
            <v>wly(upper</v>
          </cell>
          <cell r="AD78" t="str">
            <v>Reg Replen</v>
          </cell>
        </row>
        <row r="79">
          <cell r="A79" t="str">
            <v>USA3</v>
          </cell>
          <cell r="B79" t="str">
            <v>CO-SC-Columbiana Centre</v>
          </cell>
          <cell r="C79" t="str">
            <v>SC</v>
          </cell>
          <cell r="D79" t="str">
            <v>C</v>
          </cell>
          <cell r="E79">
            <v>3</v>
          </cell>
          <cell r="F79">
            <v>1</v>
          </cell>
          <cell r="G79">
            <v>2400</v>
          </cell>
          <cell r="H79">
            <v>500</v>
          </cell>
          <cell r="I79">
            <v>0.9</v>
          </cell>
          <cell r="J79">
            <v>4047</v>
          </cell>
          <cell r="K79">
            <v>132</v>
          </cell>
          <cell r="L79">
            <v>214.61363636363635</v>
          </cell>
          <cell r="M79">
            <v>100.06818181818181</v>
          </cell>
          <cell r="N79">
            <v>17</v>
          </cell>
          <cell r="O79">
            <v>0</v>
          </cell>
          <cell r="P79">
            <v>90</v>
          </cell>
          <cell r="Q79" t="str">
            <v xml:space="preserve"> wly sale(lower-50</v>
          </cell>
          <cell r="R79">
            <v>396</v>
          </cell>
          <cell r="S79" t="str">
            <v>Overstock</v>
          </cell>
          <cell r="T79" t="str">
            <v xml:space="preserve"> </v>
          </cell>
          <cell r="U79">
            <v>1454</v>
          </cell>
          <cell r="V79">
            <v>15</v>
          </cell>
          <cell r="W79">
            <v>678.5333333333333</v>
          </cell>
          <cell r="X79">
            <v>468.53333333333336</v>
          </cell>
          <cell r="Y79">
            <v>27</v>
          </cell>
          <cell r="Z79">
            <v>0</v>
          </cell>
          <cell r="AA79">
            <v>0</v>
          </cell>
          <cell r="AB79">
            <v>45</v>
          </cell>
          <cell r="AC79" t="str">
            <v>wly(lower-20</v>
          </cell>
          <cell r="AD79" t="str">
            <v>Overstock</v>
          </cell>
        </row>
        <row r="80">
          <cell r="A80" t="str">
            <v>USA4</v>
          </cell>
          <cell r="B80" t="str">
            <v>Arrowhead Towne Center</v>
          </cell>
          <cell r="C80" t="str">
            <v>AZ</v>
          </cell>
          <cell r="D80" t="str">
            <v>A</v>
          </cell>
          <cell r="E80">
            <v>3</v>
          </cell>
          <cell r="F80">
            <v>1</v>
          </cell>
          <cell r="G80">
            <v>2400</v>
          </cell>
          <cell r="H80">
            <v>500</v>
          </cell>
          <cell r="I80">
            <v>1</v>
          </cell>
          <cell r="J80">
            <v>6572</v>
          </cell>
          <cell r="K80">
            <v>683</v>
          </cell>
          <cell r="L80">
            <v>67.355783308931194</v>
          </cell>
          <cell r="M80">
            <v>42.758418740849194</v>
          </cell>
          <cell r="N80">
            <v>17</v>
          </cell>
          <cell r="O80">
            <v>0</v>
          </cell>
          <cell r="P80">
            <v>690</v>
          </cell>
          <cell r="Q80" t="str">
            <v xml:space="preserve"> wly sale(lower</v>
          </cell>
          <cell r="R80">
            <v>2049</v>
          </cell>
          <cell r="S80" t="str">
            <v>Overstock</v>
          </cell>
          <cell r="T80" t="str">
            <v xml:space="preserve"> </v>
          </cell>
          <cell r="U80">
            <v>1141</v>
          </cell>
          <cell r="V80">
            <v>254</v>
          </cell>
          <cell r="W80">
            <v>31.444881889763781</v>
          </cell>
          <cell r="X80">
            <v>17.665354330708663</v>
          </cell>
          <cell r="Y80">
            <v>17</v>
          </cell>
          <cell r="Z80">
            <v>0</v>
          </cell>
          <cell r="AA80">
            <v>280</v>
          </cell>
          <cell r="AB80">
            <v>762</v>
          </cell>
          <cell r="AC80" t="str">
            <v>wly(lower</v>
          </cell>
          <cell r="AD80" t="str">
            <v>Reg Replen</v>
          </cell>
        </row>
        <row r="81">
          <cell r="A81" t="str">
            <v>USA5</v>
          </cell>
          <cell r="B81" t="str">
            <v>Chandler Fashion Center</v>
          </cell>
          <cell r="C81" t="str">
            <v>AZ</v>
          </cell>
          <cell r="D81" t="str">
            <v>A</v>
          </cell>
          <cell r="E81">
            <v>3</v>
          </cell>
          <cell r="F81">
            <v>1</v>
          </cell>
          <cell r="G81">
            <v>2400</v>
          </cell>
          <cell r="H81">
            <v>500</v>
          </cell>
          <cell r="I81">
            <v>1</v>
          </cell>
          <cell r="J81">
            <v>4143</v>
          </cell>
          <cell r="K81">
            <v>492</v>
          </cell>
          <cell r="L81">
            <v>58.945121951219505</v>
          </cell>
          <cell r="M81">
            <v>24.798780487804876</v>
          </cell>
          <cell r="N81">
            <v>17</v>
          </cell>
          <cell r="O81">
            <v>0</v>
          </cell>
          <cell r="P81">
            <v>500</v>
          </cell>
          <cell r="Q81" t="str">
            <v xml:space="preserve"> wly sale(upper</v>
          </cell>
          <cell r="R81">
            <v>1476</v>
          </cell>
          <cell r="S81" t="str">
            <v>Reg Replen</v>
          </cell>
          <cell r="T81" t="str">
            <v xml:space="preserve"> </v>
          </cell>
          <cell r="U81">
            <v>888</v>
          </cell>
          <cell r="V81">
            <v>149</v>
          </cell>
          <cell r="W81">
            <v>41.718120805369132</v>
          </cell>
          <cell r="X81">
            <v>18.228187919463089</v>
          </cell>
          <cell r="Y81">
            <v>28</v>
          </cell>
          <cell r="Z81">
            <v>208</v>
          </cell>
          <cell r="AA81">
            <v>170</v>
          </cell>
          <cell r="AB81">
            <v>447</v>
          </cell>
          <cell r="AC81" t="str">
            <v>wly(lower</v>
          </cell>
          <cell r="AD81" t="str">
            <v>Reg Replen</v>
          </cell>
        </row>
        <row r="82">
          <cell r="A82" t="str">
            <v>USA7</v>
          </cell>
          <cell r="B82" t="str">
            <v>Promenade Temecula</v>
          </cell>
          <cell r="C82" t="str">
            <v>CA</v>
          </cell>
          <cell r="D82" t="str">
            <v>A</v>
          </cell>
          <cell r="E82">
            <v>2</v>
          </cell>
          <cell r="F82">
            <v>1</v>
          </cell>
          <cell r="G82">
            <v>2000</v>
          </cell>
          <cell r="H82">
            <v>500</v>
          </cell>
          <cell r="I82">
            <v>1</v>
          </cell>
          <cell r="J82">
            <v>2380</v>
          </cell>
          <cell r="K82">
            <v>235</v>
          </cell>
          <cell r="L82">
            <v>70.893617021276597</v>
          </cell>
          <cell r="M82">
            <v>11.319148936170214</v>
          </cell>
          <cell r="N82">
            <v>17</v>
          </cell>
          <cell r="O82">
            <v>190.71428571428578</v>
          </cell>
          <cell r="P82">
            <v>300</v>
          </cell>
          <cell r="Q82" t="str">
            <v xml:space="preserve"> wly sale(upper</v>
          </cell>
          <cell r="R82">
            <v>705</v>
          </cell>
          <cell r="S82" t="str">
            <v>Reg Replen</v>
          </cell>
          <cell r="T82" t="str">
            <v xml:space="preserve"> </v>
          </cell>
          <cell r="U82">
            <v>672</v>
          </cell>
          <cell r="V82">
            <v>97</v>
          </cell>
          <cell r="W82">
            <v>48.494845360824741</v>
          </cell>
          <cell r="X82">
            <v>12.412371134020619</v>
          </cell>
          <cell r="Y82">
            <v>17</v>
          </cell>
          <cell r="Z82">
            <v>63.571428571428555</v>
          </cell>
          <cell r="AA82">
            <v>120</v>
          </cell>
          <cell r="AB82">
            <v>291</v>
          </cell>
          <cell r="AC82" t="str">
            <v>wly(lower</v>
          </cell>
          <cell r="AD82" t="str">
            <v>Reg Replen</v>
          </cell>
        </row>
        <row r="83">
          <cell r="A83" t="str">
            <v>USA8</v>
          </cell>
          <cell r="B83" t="str">
            <v>The SoNo Collection</v>
          </cell>
          <cell r="C83" t="str">
            <v>CT</v>
          </cell>
          <cell r="D83" t="str">
            <v>B</v>
          </cell>
          <cell r="E83">
            <v>2</v>
          </cell>
          <cell r="F83">
            <v>1</v>
          </cell>
          <cell r="G83">
            <v>2000</v>
          </cell>
          <cell r="H83">
            <v>500</v>
          </cell>
          <cell r="I83">
            <v>0.9</v>
          </cell>
          <cell r="J83">
            <v>4077</v>
          </cell>
          <cell r="K83">
            <v>290</v>
          </cell>
          <cell r="L83">
            <v>98.410344827586201</v>
          </cell>
          <cell r="M83">
            <v>54.96206896551724</v>
          </cell>
          <cell r="N83">
            <v>17</v>
          </cell>
          <cell r="O83">
            <v>0</v>
          </cell>
          <cell r="P83">
            <v>240</v>
          </cell>
          <cell r="Q83" t="str">
            <v xml:space="preserve"> wly sale(lower-50</v>
          </cell>
          <cell r="R83">
            <v>870</v>
          </cell>
          <cell r="S83" t="str">
            <v>Overstock</v>
          </cell>
          <cell r="T83" t="str">
            <v xml:space="preserve"> </v>
          </cell>
          <cell r="U83">
            <v>806</v>
          </cell>
          <cell r="V83">
            <v>105</v>
          </cell>
          <cell r="W83">
            <v>53.733333333333334</v>
          </cell>
          <cell r="X83">
            <v>23.733333333333334</v>
          </cell>
          <cell r="Y83">
            <v>29</v>
          </cell>
          <cell r="Z83">
            <v>129</v>
          </cell>
          <cell r="AA83">
            <v>110</v>
          </cell>
          <cell r="AB83">
            <v>315</v>
          </cell>
          <cell r="AC83" t="str">
            <v>wly(lower</v>
          </cell>
          <cell r="AD83" t="str">
            <v>Reg Replen</v>
          </cell>
        </row>
        <row r="84">
          <cell r="A84" t="str">
            <v>USA9</v>
          </cell>
          <cell r="B84" t="str">
            <v>Mall of Louisiana</v>
          </cell>
          <cell r="C84" t="str">
            <v>LA</v>
          </cell>
          <cell r="D84" t="str">
            <v>A</v>
          </cell>
          <cell r="E84">
            <v>1</v>
          </cell>
          <cell r="F84">
            <v>1</v>
          </cell>
          <cell r="G84">
            <v>1600</v>
          </cell>
          <cell r="H84">
            <v>500</v>
          </cell>
          <cell r="I84">
            <v>1</v>
          </cell>
          <cell r="J84">
            <v>3233</v>
          </cell>
          <cell r="K84">
            <v>199</v>
          </cell>
          <cell r="L84">
            <v>113.72361809045226</v>
          </cell>
          <cell r="M84">
            <v>57.442211055276388</v>
          </cell>
          <cell r="N84">
            <v>17</v>
          </cell>
          <cell r="O84">
            <v>0</v>
          </cell>
          <cell r="P84">
            <v>150</v>
          </cell>
          <cell r="Q84" t="str">
            <v xml:space="preserve"> wly sale(lower-50</v>
          </cell>
          <cell r="R84">
            <v>597</v>
          </cell>
          <cell r="S84" t="str">
            <v>Overstock</v>
          </cell>
          <cell r="T84" t="str">
            <v xml:space="preserve"> </v>
          </cell>
          <cell r="U84">
            <v>1104</v>
          </cell>
          <cell r="V84">
            <v>94</v>
          </cell>
          <cell r="W84">
            <v>82.212765957446805</v>
          </cell>
          <cell r="X84">
            <v>44.978723404255319</v>
          </cell>
          <cell r="Y84">
            <v>17</v>
          </cell>
          <cell r="Z84">
            <v>0</v>
          </cell>
          <cell r="AA84">
            <v>100</v>
          </cell>
          <cell r="AB84">
            <v>282</v>
          </cell>
          <cell r="AC84" t="str">
            <v>wly(lower-20</v>
          </cell>
          <cell r="AD84" t="str">
            <v>Overstock</v>
          </cell>
        </row>
        <row r="85">
          <cell r="A85" t="str">
            <v>USAA</v>
          </cell>
          <cell r="B85" t="str">
            <v>Times Square</v>
          </cell>
          <cell r="C85" t="str">
            <v>NY</v>
          </cell>
          <cell r="D85" t="str">
            <v>A</v>
          </cell>
          <cell r="E85">
            <v>3</v>
          </cell>
          <cell r="F85">
            <v>1</v>
          </cell>
          <cell r="G85">
            <v>2400</v>
          </cell>
          <cell r="H85">
            <v>500</v>
          </cell>
          <cell r="I85">
            <v>1</v>
          </cell>
          <cell r="J85">
            <v>11392</v>
          </cell>
          <cell r="K85">
            <v>1404</v>
          </cell>
          <cell r="L85">
            <v>56.797720797720793</v>
          </cell>
          <cell r="M85">
            <v>44.831908831908827</v>
          </cell>
          <cell r="N85">
            <v>17</v>
          </cell>
          <cell r="O85">
            <v>0</v>
          </cell>
          <cell r="P85">
            <v>1410</v>
          </cell>
          <cell r="Q85" t="str">
            <v xml:space="preserve"> wly sale(lower</v>
          </cell>
          <cell r="R85">
            <v>4212</v>
          </cell>
          <cell r="S85" t="str">
            <v>Overstock</v>
          </cell>
          <cell r="T85" t="str">
            <v xml:space="preserve"> </v>
          </cell>
          <cell r="U85">
            <v>4039</v>
          </cell>
          <cell r="V85">
            <v>685</v>
          </cell>
          <cell r="W85">
            <v>41.274452554744521</v>
          </cell>
          <cell r="X85">
            <v>36.164963503649631</v>
          </cell>
          <cell r="Y85">
            <v>30</v>
          </cell>
          <cell r="Z85">
            <v>0</v>
          </cell>
          <cell r="AA85">
            <v>690</v>
          </cell>
          <cell r="AB85">
            <v>2055</v>
          </cell>
          <cell r="AC85" t="str">
            <v>wly(lower-20</v>
          </cell>
          <cell r="AD85" t="str">
            <v>Overstock</v>
          </cell>
        </row>
        <row r="86">
          <cell r="A86" t="str">
            <v>USB1</v>
          </cell>
          <cell r="B86" t="str">
            <v>Maine Mall</v>
          </cell>
          <cell r="C86" t="str">
            <v>ME</v>
          </cell>
          <cell r="D86" t="str">
            <v>B</v>
          </cell>
          <cell r="E86">
            <v>0</v>
          </cell>
          <cell r="F86">
            <v>0</v>
          </cell>
          <cell r="G86">
            <v>0</v>
          </cell>
          <cell r="H86">
            <v>500</v>
          </cell>
          <cell r="I86">
            <v>0.9</v>
          </cell>
          <cell r="J86">
            <v>3466</v>
          </cell>
          <cell r="K86">
            <v>0</v>
          </cell>
          <cell r="L86" t="e">
            <v>#DIV/0!</v>
          </cell>
          <cell r="M86" t="e">
            <v>#DIV/0!</v>
          </cell>
          <cell r="N86">
            <v>17</v>
          </cell>
          <cell r="O86">
            <v>0</v>
          </cell>
          <cell r="P86">
            <v>0</v>
          </cell>
          <cell r="Q86" t="str">
            <v xml:space="preserve"> wly sale(lower-50</v>
          </cell>
          <cell r="R86">
            <v>0</v>
          </cell>
          <cell r="S86" t="e">
            <v>#DIV/0!</v>
          </cell>
          <cell r="T86" t="e">
            <v>#DIV/0!</v>
          </cell>
          <cell r="U86">
            <v>588</v>
          </cell>
          <cell r="V86">
            <v>0</v>
          </cell>
          <cell r="W86" t="e">
            <v>#DIV/0!</v>
          </cell>
          <cell r="X86" t="e">
            <v>#DIV/0!</v>
          </cell>
          <cell r="Y86">
            <v>17</v>
          </cell>
          <cell r="Z86">
            <v>0</v>
          </cell>
          <cell r="AA86">
            <v>0</v>
          </cell>
          <cell r="AB86">
            <v>0</v>
          </cell>
          <cell r="AC86" t="str">
            <v>wly(lower-20</v>
          </cell>
          <cell r="AD86" t="e">
            <v>#DIV/0!</v>
          </cell>
        </row>
        <row r="87">
          <cell r="A87" t="str">
            <v>USB6</v>
          </cell>
          <cell r="B87" t="str">
            <v>Annapolis</v>
          </cell>
          <cell r="C87" t="str">
            <v>MD</v>
          </cell>
          <cell r="D87" t="str">
            <v>A</v>
          </cell>
          <cell r="E87">
            <v>1</v>
          </cell>
          <cell r="F87">
            <v>1</v>
          </cell>
          <cell r="G87">
            <v>1600</v>
          </cell>
          <cell r="H87">
            <v>500</v>
          </cell>
          <cell r="I87">
            <v>1</v>
          </cell>
          <cell r="J87">
            <v>3224</v>
          </cell>
          <cell r="K87">
            <v>0</v>
          </cell>
          <cell r="L87" t="e">
            <v>#DIV/0!</v>
          </cell>
          <cell r="M87" t="e">
            <v>#DIV/0!</v>
          </cell>
          <cell r="N87">
            <v>17</v>
          </cell>
          <cell r="O87">
            <v>0</v>
          </cell>
          <cell r="P87">
            <v>0</v>
          </cell>
          <cell r="Q87" t="str">
            <v xml:space="preserve"> wly sale(lower-50</v>
          </cell>
          <cell r="R87">
            <v>0</v>
          </cell>
          <cell r="S87" t="e">
            <v>#DIV/0!</v>
          </cell>
          <cell r="T87" t="e">
            <v>#DIV/0!</v>
          </cell>
          <cell r="U87">
            <v>1114</v>
          </cell>
          <cell r="V87">
            <v>0</v>
          </cell>
          <cell r="W87" t="e">
            <v>#DIV/0!</v>
          </cell>
          <cell r="X87" t="e">
            <v>#DIV/0!</v>
          </cell>
          <cell r="Y87">
            <v>31</v>
          </cell>
          <cell r="Z87">
            <v>0</v>
          </cell>
          <cell r="AA87">
            <v>0</v>
          </cell>
          <cell r="AB87">
            <v>0</v>
          </cell>
          <cell r="AC87" t="str">
            <v>wly(lower-20</v>
          </cell>
          <cell r="AD87" t="e">
            <v>#DIV/0!</v>
          </cell>
        </row>
        <row r="88">
          <cell r="A88" t="str">
            <v>USB7</v>
          </cell>
          <cell r="B88" t="str">
            <v>Tucson Mall</v>
          </cell>
          <cell r="C88" t="str">
            <v>AZ</v>
          </cell>
          <cell r="D88" t="str">
            <v>B</v>
          </cell>
          <cell r="E88">
            <v>0</v>
          </cell>
          <cell r="F88">
            <v>0</v>
          </cell>
          <cell r="G88">
            <v>0</v>
          </cell>
          <cell r="H88">
            <v>500</v>
          </cell>
          <cell r="I88">
            <v>0.95</v>
          </cell>
          <cell r="J88">
            <v>0</v>
          </cell>
          <cell r="K88">
            <v>0</v>
          </cell>
          <cell r="L88" t="e">
            <v>#DIV/0!</v>
          </cell>
          <cell r="M88" t="e">
            <v>#DIV/0!</v>
          </cell>
          <cell r="N88">
            <v>17</v>
          </cell>
          <cell r="O88">
            <v>0</v>
          </cell>
          <cell r="P88">
            <v>0</v>
          </cell>
          <cell r="Q88" t="str">
            <v xml:space="preserve"> wly sale(lower-50</v>
          </cell>
          <cell r="R88">
            <v>0</v>
          </cell>
          <cell r="S88" t="e">
            <v>#DIV/0!</v>
          </cell>
          <cell r="T88" t="e">
            <v>#DIV/0!</v>
          </cell>
          <cell r="U88">
            <v>0</v>
          </cell>
          <cell r="V88">
            <v>0</v>
          </cell>
          <cell r="W88" t="e">
            <v>#DIV/0!</v>
          </cell>
          <cell r="X88" t="e">
            <v>#DIV/0!</v>
          </cell>
          <cell r="Y88">
            <v>17</v>
          </cell>
          <cell r="Z88">
            <v>500</v>
          </cell>
          <cell r="AA88">
            <v>0</v>
          </cell>
          <cell r="AB88">
            <v>0</v>
          </cell>
          <cell r="AC88" t="str">
            <v>wly(lower-20</v>
          </cell>
          <cell r="AD88" t="e">
            <v>#DIV/0!</v>
          </cell>
        </row>
        <row r="89">
          <cell r="A89" t="str">
            <v>USB8</v>
          </cell>
          <cell r="B89" t="str">
            <v>Great Lakes Crossing</v>
          </cell>
          <cell r="C89" t="str">
            <v>MI</v>
          </cell>
          <cell r="D89" t="str">
            <v>B</v>
          </cell>
          <cell r="E89">
            <v>4</v>
          </cell>
          <cell r="F89">
            <v>0</v>
          </cell>
          <cell r="G89">
            <v>1600</v>
          </cell>
          <cell r="H89">
            <v>500</v>
          </cell>
          <cell r="I89">
            <v>0.9</v>
          </cell>
          <cell r="J89">
            <v>3339</v>
          </cell>
          <cell r="K89">
            <v>0</v>
          </cell>
          <cell r="L89" t="e">
            <v>#DIV/0!</v>
          </cell>
          <cell r="M89" t="e">
            <v>#DIV/0!</v>
          </cell>
          <cell r="N89">
            <v>17</v>
          </cell>
          <cell r="O89">
            <v>0</v>
          </cell>
          <cell r="P89">
            <v>0</v>
          </cell>
          <cell r="Q89" t="str">
            <v xml:space="preserve"> wly sale(lower-50</v>
          </cell>
          <cell r="R89">
            <v>0</v>
          </cell>
          <cell r="S89" t="e">
            <v>#DIV/0!</v>
          </cell>
          <cell r="T89" t="e">
            <v>#DIV/0!</v>
          </cell>
          <cell r="U89">
            <v>544</v>
          </cell>
          <cell r="V89">
            <v>226</v>
          </cell>
          <cell r="W89">
            <v>16.849557522123895</v>
          </cell>
          <cell r="X89">
            <v>2.9115044247787614</v>
          </cell>
          <cell r="Y89">
            <v>32</v>
          </cell>
          <cell r="Z89">
            <v>989.14285714285711</v>
          </cell>
          <cell r="AA89">
            <v>280</v>
          </cell>
          <cell r="AB89">
            <v>678</v>
          </cell>
          <cell r="AC89" t="str">
            <v>wly(lower</v>
          </cell>
          <cell r="AD89" t="str">
            <v>Understock</v>
          </cell>
        </row>
        <row r="90">
          <cell r="A90" t="str">
            <v>USC8</v>
          </cell>
          <cell r="B90" t="str">
            <v>Coral Square Mall</v>
          </cell>
          <cell r="C90" t="str">
            <v>FL</v>
          </cell>
          <cell r="D90" t="str">
            <v>C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0.9</v>
          </cell>
          <cell r="J90">
            <v>4080</v>
          </cell>
          <cell r="K90">
            <v>402</v>
          </cell>
          <cell r="L90">
            <v>71.044776119402982</v>
          </cell>
          <cell r="M90">
            <v>71.044776119402982</v>
          </cell>
          <cell r="N90">
            <v>17</v>
          </cell>
          <cell r="O90">
            <v>0</v>
          </cell>
          <cell r="P90">
            <v>360</v>
          </cell>
          <cell r="Q90" t="str">
            <v xml:space="preserve"> wly sale(lower-50</v>
          </cell>
          <cell r="R90">
            <v>1206</v>
          </cell>
          <cell r="S90" t="str">
            <v>Overstock</v>
          </cell>
          <cell r="T90" t="str">
            <v xml:space="preserve"> </v>
          </cell>
          <cell r="U90">
            <v>893</v>
          </cell>
          <cell r="V90">
            <v>175</v>
          </cell>
          <cell r="W90">
            <v>35.72</v>
          </cell>
          <cell r="X90">
            <v>35.72</v>
          </cell>
          <cell r="Y90">
            <v>17</v>
          </cell>
          <cell r="Z90">
            <v>0</v>
          </cell>
          <cell r="AA90">
            <v>180</v>
          </cell>
          <cell r="AB90">
            <v>525</v>
          </cell>
          <cell r="AC90" t="str">
            <v>wly(lower-20</v>
          </cell>
          <cell r="AD90" t="str">
            <v>Overstock</v>
          </cell>
        </row>
        <row r="91">
          <cell r="A91" t="str">
            <v>USD6</v>
          </cell>
          <cell r="B91" t="str">
            <v>Sugarloaf Mills</v>
          </cell>
          <cell r="C91" t="str">
            <v>GA</v>
          </cell>
          <cell r="D91" t="str">
            <v>C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0.9</v>
          </cell>
          <cell r="J91">
            <v>0</v>
          </cell>
          <cell r="K91">
            <v>0</v>
          </cell>
          <cell r="L91" t="e">
            <v>#DIV/0!</v>
          </cell>
          <cell r="M91" t="e">
            <v>#DIV/0!</v>
          </cell>
          <cell r="N91">
            <v>17</v>
          </cell>
          <cell r="O91">
            <v>0</v>
          </cell>
          <cell r="P91">
            <v>0</v>
          </cell>
          <cell r="Q91" t="str">
            <v xml:space="preserve"> wly sale(lower-50</v>
          </cell>
          <cell r="R91">
            <v>0</v>
          </cell>
          <cell r="S91" t="e">
            <v>#DIV/0!</v>
          </cell>
          <cell r="T91" t="e">
            <v>#DIV/0!</v>
          </cell>
          <cell r="U91">
            <v>0</v>
          </cell>
          <cell r="V91">
            <v>0</v>
          </cell>
          <cell r="W91" t="e">
            <v>#DIV/0!</v>
          </cell>
          <cell r="X91" t="e">
            <v>#DIV/0!</v>
          </cell>
          <cell r="Y91">
            <v>33</v>
          </cell>
          <cell r="Z91">
            <v>0</v>
          </cell>
          <cell r="AA91">
            <v>0</v>
          </cell>
          <cell r="AB91">
            <v>0</v>
          </cell>
          <cell r="AC91" t="str">
            <v>wly(lower-20</v>
          </cell>
          <cell r="AD91" t="e">
            <v>#DIV/0!</v>
          </cell>
        </row>
        <row r="92">
          <cell r="A92" t="str">
            <v>USD7</v>
          </cell>
          <cell r="B92" t="str">
            <v>Arizona Mills</v>
          </cell>
          <cell r="C92" t="str">
            <v>AZ</v>
          </cell>
          <cell r="D92" t="str">
            <v>C</v>
          </cell>
          <cell r="E92">
            <v>4</v>
          </cell>
          <cell r="F92">
            <v>1</v>
          </cell>
          <cell r="G92">
            <v>2800</v>
          </cell>
          <cell r="H92">
            <v>0</v>
          </cell>
          <cell r="I92">
            <v>0.95</v>
          </cell>
          <cell r="J92">
            <v>3463</v>
          </cell>
          <cell r="K92">
            <v>467</v>
          </cell>
          <cell r="L92">
            <v>51.907922912205571</v>
          </cell>
          <cell r="M92">
            <v>12.036402569593148</v>
          </cell>
          <cell r="N92">
            <v>17</v>
          </cell>
          <cell r="O92">
            <v>471.14285714285688</v>
          </cell>
          <cell r="P92">
            <v>500</v>
          </cell>
          <cell r="Q92" t="str">
            <v xml:space="preserve"> wly sale(upper</v>
          </cell>
          <cell r="R92">
            <v>1401</v>
          </cell>
          <cell r="S92" t="str">
            <v>Reg Replen</v>
          </cell>
          <cell r="T92" t="str">
            <v xml:space="preserve"> </v>
          </cell>
          <cell r="U92">
            <v>339</v>
          </cell>
          <cell r="V92">
            <v>183</v>
          </cell>
          <cell r="W92">
            <v>12.967213114754099</v>
          </cell>
          <cell r="X92">
            <v>12.967213114754099</v>
          </cell>
          <cell r="Y92">
            <v>17</v>
          </cell>
          <cell r="Z92">
            <v>105.42857142857144</v>
          </cell>
          <cell r="AA92">
            <v>210</v>
          </cell>
          <cell r="AB92">
            <v>549</v>
          </cell>
          <cell r="AC92" t="str">
            <v>wly(lower</v>
          </cell>
          <cell r="AD92" t="str">
            <v>Reg Replen</v>
          </cell>
        </row>
        <row r="93">
          <cell r="A93" t="str">
            <v>USF6</v>
          </cell>
          <cell r="B93" t="str">
            <v>Mall at Wellington Green</v>
          </cell>
          <cell r="C93" t="str">
            <v>FL</v>
          </cell>
          <cell r="D93" t="str">
            <v>B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0.9</v>
          </cell>
          <cell r="J93">
            <v>0</v>
          </cell>
          <cell r="K93">
            <v>0</v>
          </cell>
          <cell r="L93" t="e">
            <v>#DIV/0!</v>
          </cell>
          <cell r="M93" t="e">
            <v>#DIV/0!</v>
          </cell>
          <cell r="N93">
            <v>17</v>
          </cell>
          <cell r="O93">
            <v>0</v>
          </cell>
          <cell r="P93">
            <v>0</v>
          </cell>
          <cell r="Q93" t="str">
            <v xml:space="preserve"> wly sale(lower-50</v>
          </cell>
          <cell r="R93">
            <v>0</v>
          </cell>
          <cell r="S93" t="e">
            <v>#DIV/0!</v>
          </cell>
          <cell r="T93" t="e">
            <v>#DIV/0!</v>
          </cell>
          <cell r="U93">
            <v>0</v>
          </cell>
          <cell r="V93">
            <v>0</v>
          </cell>
          <cell r="W93" t="e">
            <v>#DIV/0!</v>
          </cell>
          <cell r="X93" t="e">
            <v>#DIV/0!</v>
          </cell>
          <cell r="Y93">
            <v>34</v>
          </cell>
          <cell r="Z93">
            <v>0</v>
          </cell>
          <cell r="AA93">
            <v>0</v>
          </cell>
          <cell r="AB93">
            <v>0</v>
          </cell>
          <cell r="AC93" t="str">
            <v>wly(lower-20</v>
          </cell>
          <cell r="AD93" t="e">
            <v>#DIV/0!</v>
          </cell>
        </row>
        <row r="94">
          <cell r="A94" t="str">
            <v>USG1</v>
          </cell>
          <cell r="B94" t="str">
            <v>Hillsdale</v>
          </cell>
          <cell r="C94" t="str">
            <v>CA</v>
          </cell>
          <cell r="D94" t="str">
            <v>C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0.95</v>
          </cell>
          <cell r="J94">
            <v>0</v>
          </cell>
          <cell r="K94">
            <v>0</v>
          </cell>
          <cell r="L94" t="e">
            <v>#DIV/0!</v>
          </cell>
          <cell r="M94" t="e">
            <v>#DIV/0!</v>
          </cell>
          <cell r="N94">
            <v>17</v>
          </cell>
          <cell r="O94">
            <v>0</v>
          </cell>
          <cell r="P94">
            <v>0</v>
          </cell>
          <cell r="Q94" t="str">
            <v xml:space="preserve"> wly sale(lower-50</v>
          </cell>
          <cell r="R94">
            <v>0</v>
          </cell>
          <cell r="S94" t="e">
            <v>#DIV/0!</v>
          </cell>
          <cell r="T94" t="e">
            <v>#DIV/0!</v>
          </cell>
          <cell r="U94">
            <v>0</v>
          </cell>
          <cell r="V94">
            <v>0</v>
          </cell>
          <cell r="W94" t="e">
            <v>#DIV/0!</v>
          </cell>
          <cell r="X94" t="e">
            <v>#DIV/0!</v>
          </cell>
          <cell r="Y94">
            <v>17</v>
          </cell>
          <cell r="Z94">
            <v>0</v>
          </cell>
          <cell r="AA94">
            <v>0</v>
          </cell>
          <cell r="AB94">
            <v>0</v>
          </cell>
          <cell r="AC94" t="str">
            <v>wly(lower-20</v>
          </cell>
          <cell r="AD94" t="e">
            <v>#DIV/0!</v>
          </cell>
        </row>
        <row r="95">
          <cell r="A95" t="str">
            <v>USG2</v>
          </cell>
          <cell r="B95" t="str">
            <v>Eastview Mall</v>
          </cell>
          <cell r="C95" t="str">
            <v>NY</v>
          </cell>
          <cell r="D95" t="str">
            <v>B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0.9</v>
          </cell>
          <cell r="J95">
            <v>0</v>
          </cell>
          <cell r="K95">
            <v>0</v>
          </cell>
          <cell r="L95" t="e">
            <v>#DIV/0!</v>
          </cell>
          <cell r="M95" t="e">
            <v>#DIV/0!</v>
          </cell>
          <cell r="N95">
            <v>18</v>
          </cell>
          <cell r="O95">
            <v>0</v>
          </cell>
          <cell r="P95">
            <v>0</v>
          </cell>
          <cell r="Q95" t="str">
            <v xml:space="preserve"> wly sale(lower-50</v>
          </cell>
          <cell r="R95">
            <v>0</v>
          </cell>
          <cell r="S95" t="e">
            <v>#DIV/0!</v>
          </cell>
          <cell r="T95" t="e">
            <v>#DIV/0!</v>
          </cell>
          <cell r="U95">
            <v>0</v>
          </cell>
          <cell r="V95">
            <v>0</v>
          </cell>
          <cell r="W95" t="e">
            <v>#DIV/0!</v>
          </cell>
          <cell r="X95" t="e">
            <v>#DIV/0!</v>
          </cell>
          <cell r="Y95">
            <v>18</v>
          </cell>
          <cell r="Z95">
            <v>0</v>
          </cell>
          <cell r="AA95">
            <v>0</v>
          </cell>
          <cell r="AB95">
            <v>0</v>
          </cell>
          <cell r="AC95" t="str">
            <v>wly(lower-20</v>
          </cell>
          <cell r="AD95" t="e">
            <v>#DIV/0!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5104.324374999997" createdVersion="5" refreshedVersion="5" minRefreshableVersion="3" recordCount="93" xr:uid="{00000000-000A-0000-FFFF-FFFF00000000}">
  <cacheSource type="worksheet">
    <worksheetSource ref="B2:BM88" sheet="明细"/>
  </cacheSource>
  <cacheFields count="41">
    <cacheField name="Store Code" numFmtId="0">
      <sharedItems count="93">
        <s v="US01"/>
        <s v="US03"/>
        <s v="US05"/>
        <s v="US08"/>
        <s v="US09"/>
        <s v="US10"/>
        <s v="US11"/>
        <s v="US13"/>
        <s v="US14"/>
        <s v="US15"/>
        <s v="US16"/>
        <s v="US17"/>
        <s v="US18"/>
        <s v="US19"/>
        <s v="US20"/>
        <s v="US21"/>
        <s v="US22"/>
        <s v="US23"/>
        <s v="US24"/>
        <s v="US25"/>
        <s v="US26"/>
        <s v="US27"/>
        <s v="US28"/>
        <s v="US29"/>
        <s v="US30"/>
        <s v="US34"/>
        <s v="US35"/>
        <s v="US38"/>
        <s v="US39"/>
        <s v="US42"/>
        <s v="US43"/>
        <s v="US45"/>
        <s v="US46"/>
        <s v="US47"/>
        <s v="US48"/>
        <s v="US49"/>
        <s v="US51"/>
        <s v="US52"/>
        <s v="US53"/>
        <s v="US54"/>
        <s v="US55"/>
        <s v="US56"/>
        <s v="US57"/>
        <s v="US58"/>
        <s v="US59"/>
        <s v="US60"/>
        <s v="US61"/>
        <s v="US64"/>
        <s v="US65"/>
        <s v="US66"/>
        <s v="US67"/>
        <s v="US69"/>
        <s v="US70"/>
        <s v="US71"/>
        <s v="US72"/>
        <s v="US73"/>
        <s v="US74"/>
        <s v="US75"/>
        <s v="US76"/>
        <s v="US77"/>
        <s v="US78"/>
        <s v="US80"/>
        <s v="US81"/>
        <s v="US82"/>
        <s v="US83"/>
        <s v="US84"/>
        <s v="US85"/>
        <s v="US86"/>
        <s v="US94"/>
        <s v="US95"/>
        <s v="US97"/>
        <s v="US98"/>
        <s v="US99"/>
        <s v="USA1"/>
        <s v="USA2"/>
        <s v="USA3"/>
        <s v="USA7"/>
        <s v="USA8"/>
        <s v="USA9"/>
        <s v="USAA"/>
        <s v="USB4"/>
        <s v="USA4"/>
        <s v="USA5"/>
        <s v="USB6"/>
        <s v="USB8"/>
        <s v="US96"/>
        <s v="USB5"/>
        <s v="USD7"/>
        <s v="USC8"/>
        <s v="USC9"/>
        <s v="USD3"/>
        <s v="USB1"/>
        <s v="USG2"/>
      </sharedItems>
    </cacheField>
    <cacheField name="Store Name" numFmtId="0">
      <sharedItems count="93">
        <s v="CO-SCA-Pasadena"/>
        <s v="CO-SCA-Moreno Valley"/>
        <s v="CO-SCA-Arcadia"/>
        <s v="CO-SCA-Bakersfield"/>
        <s v="CO-SCA-Riverside"/>
        <s v="CO-SCA-Hollywood"/>
        <s v="CO-SCA-7 Covina"/>
        <s v="CO-NCA-Stonestown"/>
        <s v="CO-SCA-Alhambra"/>
        <s v="CO-SCA-Torrance"/>
        <s v="CO-SCA-Culver City"/>
        <s v="CO-SCA-Escondido"/>
        <s v="CO-SCA-Palm Desert"/>
        <s v="CO-SCA-Irvine"/>
        <s v="CO-SCA-Cerritos"/>
        <s v="CO-SCA-National City"/>
        <s v="CO-SCA-Topanga"/>
        <s v="CO-SCA-Sherman Oaks"/>
        <s v="CO-SCA-Valencia"/>
        <s v="CO-NCA-Fairfield"/>
        <s v="CO-NCA-Salinas"/>
        <s v="CO-NCA-Newark"/>
        <s v="CO-SCA-El Cajon"/>
        <s v="CO-SCA-Chino Hills"/>
        <s v="CO-NCA-SFC"/>
        <s v="CO-SCA-Mission Viejo"/>
        <s v="FR-FL-Sand Lake"/>
        <s v="FR-NV-Shanghai Plaza"/>
        <s v="CO-SCA-University Center"/>
        <s v="CO-NJ-Cherry Hill"/>
        <s v="CO-VA-Tyson's Corner"/>
        <s v="CO-NCA-Sunvalley"/>
        <s v="CO-NY-Palisades Center"/>
        <s v="CO-NCA-Roseville"/>
        <s v="CO-NCA-Valley Fair"/>
        <s v="CO-MD-Montgomery"/>
        <s v="CO-NCA-Arden Fair"/>
        <s v="CO-DE-Christiana"/>
        <s v="Natick"/>
        <s v="CO-MD-Mall in Columbia"/>
        <s v="CO-NY-Staten Island"/>
        <s v="CO-SCA-Brea Mall"/>
        <s v="CO-PA-King of Prussia"/>
        <s v="CO-MA-South Shore"/>
        <s v="CO-VA-Potomac Mills"/>
        <s v="CO-NJ-Jersey Gardens"/>
        <s v="CO-MA-Northshore"/>
        <s v="CO-NY-Tangram"/>
        <s v="CO-NY-SOHO490"/>
        <s v="CO-NCA-Alderwood"/>
        <s v="CO-VA-Fair Oaks"/>
        <s v="CO-NCA-Oakridge"/>
        <s v="Providence Place"/>
        <s v="Willowbrook"/>
        <s v="First Colony"/>
        <s v="CO-TX-Deerbrook"/>
        <s v="CO-NCA-Great Mall"/>
        <s v="Stoneridge"/>
        <s v="Livermore"/>
        <s v="Ontario"/>
        <s v="Memorial City"/>
        <s v="CO-WA-Southcenter"/>
        <s v="CO-TX-Katy Mills"/>
        <s v="CO-TX-Grapevine Mills"/>
        <s v="CO-TX-Stonebriar Centre"/>
        <s v="CO-TX-Hulen Mall"/>
        <s v="CO-TX-Parks at Arlington"/>
        <s v="CO-FL-Pembroke Lakes Mall"/>
        <s v="Fashion Show"/>
        <s v="Galleria at Sunset"/>
        <s v="Northridge Fashion Center"/>
        <s v="The Shops at Montebello"/>
        <s v="CO-WA-Outlet Collection Seattle"/>
        <s v="The Oaks"/>
        <s v="Vintage Faire"/>
        <s v="CO-SC-Columbiana Centre"/>
        <s v="Promenade Temecula"/>
        <s v="The SoNo Collection"/>
        <s v="Mall of Louisiana"/>
        <s v="Times Square"/>
        <s v="Park City Center"/>
        <s v="Arrowhead Towne Center"/>
        <s v="Chandler Fashion Center"/>
        <s v="Annapolis"/>
        <s v="Great Lakes Crossing"/>
        <s v="Clackamas"/>
        <s v="Deptford"/>
        <s v="Arizona Mills"/>
        <s v="Coral Square Mall"/>
        <s v="Mall of Georgia"/>
        <s v="Concord Mills"/>
        <s v="Maine Mall"/>
        <s v="Eastview Mall"/>
      </sharedItems>
    </cacheField>
    <cacheField name="Coast" numFmtId="0">
      <sharedItems count="3">
        <s v="West"/>
        <s v="East"/>
        <s v="Middle"/>
      </sharedItems>
    </cacheField>
    <cacheField name="Region" numFmtId="0">
      <sharedItems containsBlank="1" count="6">
        <s v="West"/>
        <s v="FL"/>
        <s v="East"/>
        <s v="WA"/>
        <s v="TX"/>
        <m u="1"/>
      </sharedItems>
    </cacheField>
    <cacheField name="State" numFmtId="0">
      <sharedItems count="22">
        <s v="CA"/>
        <s v="FL"/>
        <s v="NV"/>
        <s v="NJ"/>
        <s v="VA"/>
        <s v="NY"/>
        <s v="MD"/>
        <s v="DE"/>
        <s v="MA"/>
        <s v="PA"/>
        <s v="WA"/>
        <s v="RI"/>
        <s v="TX"/>
        <s v="SC"/>
        <s v="CT"/>
        <s v="LA"/>
        <s v="AZ"/>
        <s v="MI"/>
        <s v="OR"/>
        <s v="GA"/>
        <s v="NC"/>
        <s v="ME"/>
      </sharedItems>
    </cacheField>
    <cacheField name="Store area" numFmtId="0">
      <sharedItems containsSemiMixedTypes="0" containsString="0" containsNumber="1" minValue="0" maxValue="523.69000000000005" count="87">
        <n v="325.16000000000003"/>
        <n v="353.03155199999901"/>
        <n v="303.7929408"/>
        <n v="207.266682199999"/>
        <n v="125.419104"/>
        <n v="441.93976129999902"/>
        <n v="275.92202880000002"/>
        <n v="390.09969699999903"/>
        <n v="150"/>
        <n v="428.18992700000001"/>
        <n v="323.20953700000001"/>
        <n v="460.055656"/>
        <n v="299.519272"/>
        <n v="376.62876199999903"/>
        <n v="292.64445000000001"/>
        <n v="303.421198"/>
        <n v="377.093277"/>
        <n v="399.48289999999901"/>
        <n v="288.83542699999902"/>
        <n v="324"/>
        <n v="399"/>
        <n v="320"/>
        <n v="398"/>
        <n v="311"/>
        <n v="325.60000000000002"/>
        <n v="345"/>
        <n v="367"/>
        <n v="337.15"/>
        <n v="252"/>
        <n v="281.2"/>
        <n v="280.75"/>
        <n v="331"/>
        <n v="197"/>
        <n v="378"/>
        <n v="371"/>
        <n v="488"/>
        <n v="198"/>
        <n v="382"/>
        <n v="190"/>
        <n v="209"/>
        <n v="423"/>
        <n v="270"/>
        <n v="278"/>
        <n v="259"/>
        <n v="348"/>
        <n v="236"/>
        <n v="313"/>
        <n v="443"/>
        <n v="411"/>
        <n v="333"/>
        <n v="495"/>
        <n v="389"/>
        <n v="338.07401700000003"/>
        <n v="357"/>
        <n v="390"/>
        <n v="309"/>
        <n v="386"/>
        <n v="279"/>
        <n v="337"/>
        <n v="287"/>
        <n v="327.57597800000002"/>
        <n v="435.15765199999998"/>
        <n v="321.81599199999999"/>
        <n v="336.68047200000001"/>
        <n v="280.10254500000002"/>
        <n v="266.82"/>
        <n v="325.35000000000002"/>
        <n v="417.41"/>
        <n v="511.25"/>
        <n v="523.69000000000005"/>
        <n v="432.93"/>
        <n v="373"/>
        <n v="204.48"/>
        <n v="417.32"/>
        <n v="275"/>
        <n v="362.13589400000001"/>
        <n v="410.90996899999999"/>
        <n v="335.47273300000001"/>
        <n v="311.87537099999997"/>
        <n v="319.12180499999999"/>
        <n v="315.59149100000002"/>
        <n v="375.23521699999998"/>
        <n v="376.53585900000002"/>
        <n v="278.709"/>
        <n v="377.00037400000002"/>
        <n v="195.00339700000001"/>
        <n v="320.794059"/>
      </sharedItems>
    </cacheField>
    <cacheField name="Store Rank" numFmtId="167">
      <sharedItems count="3">
        <s v="B"/>
        <s v="A"/>
        <s v="C"/>
      </sharedItems>
    </cacheField>
    <cacheField name="PIC" numFmtId="167">
      <sharedItems count="4">
        <s v="Mia"/>
        <s v="John"/>
        <s v="Irene"/>
        <s v="新店"/>
      </sharedItems>
    </cacheField>
    <cacheField name="Store Safety Stock（10k） " numFmtId="170">
      <sharedItems containsMixedTypes="1" containsNumber="1" count="35">
        <n v="160000"/>
        <n v="180000"/>
        <n v="280000"/>
        <n v="140000"/>
        <n v="110000"/>
        <n v="320000"/>
        <n v="290000"/>
        <n v="100000"/>
        <n v="340000"/>
        <n v="200000"/>
        <n v="155000"/>
        <n v="150000"/>
        <n v="380000"/>
        <n v="250000"/>
        <n v="240000"/>
        <n v="350000"/>
        <n v="190000"/>
        <n v="210000"/>
        <n v="170000"/>
        <n v="175000"/>
        <n v="165000"/>
        <n v="280443.6287"/>
        <n v="130000"/>
        <n v="372544.06060000201"/>
        <n v="450000"/>
        <n v="300000"/>
        <n v="211881.302400001"/>
        <n v="261796.33199999999"/>
        <n v="185258.05"/>
        <n v="270000"/>
        <n v="263847.16239999997"/>
        <n v="180648.94137931001"/>
        <n v="140648.94137931001"/>
        <s v="new store"/>
        <n v="649902.66424791201"/>
      </sharedItems>
    </cacheField>
    <cacheField name="Standard  Amt " numFmtId="170">
      <sharedItems containsBlank="1" containsMixedTypes="1" containsNumber="1" count="72">
        <n v="182606.39679999999"/>
        <n v="199730.5992"/>
        <n v="333084.04920000199"/>
        <n v="159100.9988"/>
        <n v="125527.26240000001"/>
        <n v="352969.16480000003"/>
        <n v="184325.57399999999"/>
        <n v="340850.768800002"/>
        <n v="114792.414"/>
        <n v="388781.51200000203"/>
        <n v="230361.1568"/>
        <n v="174472.96520000001"/>
        <n v="166151.605600001"/>
        <n v="442983.52320000302"/>
        <n v="335956.87760000298"/>
        <n v="294440.16720000101"/>
        <n v="268025.06199999998"/>
        <n v="381239.05719999998"/>
        <n v="175571.712"/>
        <n v="210294.63279999999"/>
        <n v="239538.1164"/>
        <n v="186569.81040000101"/>
        <n v="217940.218400001"/>
        <n v="198715.94399999999"/>
        <n v="186199.85159999999"/>
        <n v="188501.19680000001"/>
        <n v="192131.12240000101"/>
        <n v="388103.07920000301"/>
        <n v="197539.4264"/>
        <n v="182836.23680000001"/>
        <n v="343034.0111"/>
        <n v="145747.86199999999"/>
        <n v="184184.1912"/>
        <n v="204043.00599999999"/>
        <n v="391694.89080000197"/>
        <n v="182427.6"/>
        <n v="233734.58919999999"/>
        <n v="232208.862400001"/>
        <n v="245219.74320000201"/>
        <n v="183709.22320000001"/>
        <n v="179116.68719999999"/>
        <n v="209045.8352"/>
        <n v="176377.23360000001"/>
        <n v="215761.689600001"/>
        <n v="194950.21359999999"/>
        <n v="235337.54640000101"/>
        <n v="179765.44959999999"/>
        <n v="464560.43180000602"/>
        <n v="626056.23360000202"/>
        <n v="314923.93439999898"/>
        <n v="250893.907200002"/>
        <n v="242393.5404"/>
        <n v="298938.99600000097"/>
        <n v="211615.38360000099"/>
        <n v="231596.728800001"/>
        <n v="188039.05520000099"/>
        <n v="317443.744400002"/>
        <n v="200093.80360000001"/>
        <n v="229259.3132"/>
        <n v="361887.40400000103"/>
        <n v="304191.48720000102"/>
        <n v="386449.07440000301"/>
        <n v="188162.451200001"/>
        <n v="215726.88297931099"/>
        <n v="253884.037600001"/>
        <n v="185155.87360000101"/>
        <n v="212579.30217931099"/>
        <n v="167066.428579311"/>
        <s v="new store"/>
        <n v="343994.76896825398"/>
        <n v="1320133.9056764301"/>
        <m/>
      </sharedItems>
    </cacheField>
    <cacheField name="Turnover" numFmtId="0">
      <sharedItems containsBlank="1" containsMixedTypes="1" containsNumber="1" count="74">
        <n v="40.032407438087702"/>
        <n v="51.606377741856797"/>
        <n v="34.305192100691897"/>
        <n v="38.904360159589203"/>
        <n v="35.059550636082697"/>
        <n v="34.465265519992997"/>
        <n v="41.804345311372103"/>
        <n v="36.758089561764301"/>
        <n v="46.360822644222502"/>
        <n v="37.178031678236799"/>
        <n v="37.579871705006397"/>
        <n v="46.5099208828006"/>
        <n v="54.505787506364797"/>
        <n v="25.045670257372301"/>
        <n v="29.612471244334198"/>
        <n v="37.780011300765402"/>
        <n v="42.734961228557999"/>
        <n v="61.971427197360399"/>
        <n v="44.785089638056"/>
        <n v="50.726188280442301"/>
        <n v="53.657968952772201"/>
        <n v="49.741406367306197"/>
        <n v="68.255447600219298"/>
        <n v="46.281411562030598"/>
        <n v="46.776044329972699"/>
        <n v="78.309577601127501"/>
        <n v="46.8460438981013"/>
        <n v="25.665310382592299"/>
        <n v="38.685740828390202"/>
        <n v="72.866892791148402"/>
        <n v="46.784516497520698"/>
        <n v="45.142042288446703"/>
        <n v="77.742892490718901"/>
        <n v="38.898519647131998"/>
        <n v="27.159993213957701"/>
        <n v="54.064538669509901"/>
        <n v="37.721287822622998"/>
        <n v="88.069124642165306"/>
        <n v="86.780897345679605"/>
        <n v="65.556959993431605"/>
        <n v="74.748460736385098"/>
        <n v="35.541188480497802"/>
        <n v="77.384373346244502"/>
        <n v="55.745999943896997"/>
        <n v="67.742261913456701"/>
        <n v="60.696146973911198"/>
        <n v="88.559958815151305"/>
        <n v="40.909484321211998"/>
        <n v="40.147213295943601"/>
        <n v="38.9864705929729"/>
        <n v="71.005038124014604"/>
        <n v="41.4899989644342"/>
        <n v="80.741567582793095"/>
        <n v="57.575502774842001"/>
        <n v="58.653102664639803"/>
        <n v="58.602623063444497"/>
        <n v="36.454503770653098"/>
        <n v="52.262228947806499"/>
        <n v="36.400272010523999"/>
        <n v="50.6198777986408"/>
        <n v="55.245659219794703"/>
        <n v="40.305171499461501"/>
        <n v="57.507801775972197"/>
        <n v="39.8466507421209"/>
        <n v="45.0856419296992"/>
        <n v="74.046275521521594"/>
        <n v="56.009622145600503"/>
        <n v="47.760259060234802"/>
        <s v="new store"/>
        <n v="48.896321414360798"/>
        <n v="91.381079527942006"/>
        <n v="36.4134405404779"/>
        <n v="33.484378240361103"/>
        <m/>
      </sharedItems>
    </cacheField>
    <cacheField name="Least Prepare Days" numFmtId="0">
      <sharedItems containsBlank="1" containsMixedTypes="1" containsNumber="1" containsInteger="1" count="4">
        <n v="45"/>
        <n v="52"/>
        <s v="new store"/>
        <m/>
      </sharedItems>
    </cacheField>
    <cacheField name="Start Date" numFmtId="14">
      <sharedItems containsNonDate="0" containsDate="1" containsString="0" containsBlank="1" minDate="2023-06-26T00:00:00" maxDate="2023-06-26T00:00:00" count="2">
        <d v="2023-06-26T00:00:00"/>
        <m/>
      </sharedItems>
    </cacheField>
    <cacheField name="End Date" numFmtId="14">
      <sharedItems containsNonDate="0" containsDate="1" containsString="0" containsBlank="1" minDate="2023-08-10T00:00:00" maxDate="2023-08-17T00:00:00" count="3">
        <d v="2023-08-10T00:00:00"/>
        <d v="2023-08-17T00:00:00"/>
        <m/>
      </sharedItems>
    </cacheField>
    <cacheField name="Total Store Stock Amt（10k）" numFmtId="170">
      <sharedItems containsSemiMixedTypes="0" containsString="0" containsNumber="1" minValue="0" maxValue="2188114.89" count="76">
        <n v="188848.79"/>
        <n v="228066.24000000101"/>
        <n v="339594.47"/>
        <n v="198796.77000000101"/>
        <n v="147172.76999999999"/>
        <n v="388297.07999999903"/>
        <n v="215146.40000000101"/>
        <n v="370702.80000000098"/>
        <n v="143053.06000000099"/>
        <n v="353866.13"/>
        <n v="246984.79"/>
        <n v="222012.320000001"/>
        <n v="187893.37"/>
        <n v="485551.88999999699"/>
        <n v="415838.59999999899"/>
        <n v="450281.24999999697"/>
        <n v="260972.65000000101"/>
        <n v="404680.12999999902"/>
        <n v="172924.64"/>
        <n v="218589.94000000099"/>
        <n v="291558.29000000103"/>
        <n v="264427.62000000098"/>
        <n v="278695.49000000098"/>
        <n v="224170.13000000099"/>
        <n v="218495.53"/>
        <n v="254543.22000000201"/>
        <n v="370190.97999999602"/>
        <n v="470330.89999999799"/>
        <n v="230428.73"/>
        <n v="241640.340000002"/>
        <n v="248593.47"/>
        <n v="160728.71000000101"/>
        <n v="231768.75000000201"/>
        <n v="245291.84000000099"/>
        <n v="477816.49999999598"/>
        <n v="232018.24000000101"/>
        <n v="257093.83000000101"/>
        <n v="283317.640000001"/>
        <n v="259933.29000000199"/>
        <n v="225930.770000002"/>
        <n v="261037.97000000201"/>
        <n v="206682.31"/>
        <n v="192886.450000001"/>
        <n v="283142.79000000103"/>
        <n v="254868.84000000099"/>
        <n v="348339.91000000201"/>
        <n v="244838.32000000199"/>
        <n v="529117.320000001"/>
        <n v="868963.38999999803"/>
        <n v="414765.93"/>
        <n v="267409.42"/>
        <n v="321230.13"/>
        <n v="303219.520000002"/>
        <n v="296022.53000000102"/>
        <n v="271983.81000000099"/>
        <n v="212322.790000001"/>
        <n v="378495.45"/>
        <n v="273716.510000001"/>
        <n v="260568.37000000101"/>
        <n v="389543.739999999"/>
        <n v="280587.46000000101"/>
        <n v="414886.989999999"/>
        <n v="280392.89000000199"/>
        <n v="241460.00000000099"/>
        <n v="399975.700000001"/>
        <n v="261630.38000000201"/>
        <n v="229332.12000000101"/>
        <n v="264936.700000001"/>
        <n v="0"/>
        <n v="239872.100000001"/>
        <n v="264724.640000001"/>
        <n v="240"/>
        <n v="378746.50000000198"/>
        <n v="220801.28"/>
        <n v="317210.41000000102"/>
        <n v="2188114.89"/>
      </sharedItems>
    </cacheField>
    <cacheField name="Current Turnover" numFmtId="1">
      <sharedItems containsString="0" containsBlank="1" containsNumber="1" minValue="0" maxValue="147.42147332167099" count="73">
        <n v="50.6011169484877"/>
        <n v="72.022791570367204"/>
        <n v="42.748098877176801"/>
        <n v="59.4134635418445"/>
        <n v="50.239571616704701"/>
        <n v="46.340334218596297"/>
        <n v="59.637590783966203"/>
        <n v="48.861263792906001"/>
        <n v="70.613099124890297"/>
        <n v="41.358993457528598"/>
        <n v="49.245485920377902"/>
        <n v="72.334371045887906"/>
        <n v="75.335505708783998"/>
        <n v="33.552965497150304"/>
        <n v="44.7987701412018"/>
        <n v="70.615341962438094"/>
        <n v="50.857274298933902"/>
        <n v="80.400022024596097"/>
        <n v="53.912064106263699"/>
        <n v="64.444281686107104"/>
        <n v="79.8243093771394"/>
        <n v="86.165553438778403"/>
        <n v="106.67927455388001"/>
        <n v="63.811918445358302"/>
        <n v="67.086771792625598"/>
        <n v="129.244621464235"/>
        <n v="110.319226852575"/>
        <n v="38.0148359081902"/>
        <n v="55.1548784165741"/>
        <n v="117.703015810221"/>
        <n v="41.438579182817101"/>
        <n v="60.844684760881997"/>
        <n v="119.567568543577"/>
        <n v="57.153737717829301"/>
        <n v="40.494222877609701"/>
        <n v="84.041590072279803"/>
        <n v="50.711371347626901"/>
        <n v="131.33143212277199"/>
        <n v="112.429630339071"/>
        <n v="98.540191888252807"/>
        <n v="133.143529269461"/>
        <n v="42.948095415924797"/>
        <n v="103.43383787332399"/>
        <n v="89.411845403183193"/>
        <n v="108.243766637389"/>
        <n v="109.805302437721"/>
        <n v="147.42147332167099"/>
        <n v="56.948716696978103"/>
        <n v="68.107308295965396"/>
        <n v="62.756902940148002"/>
        <n v="92.496633785677602"/>
        <n v="67.2030263629986"/>
        <n v="100.097201783279"/>
        <n v="98.438603712876002"/>
        <n v="84.1883113667174"/>
        <n v="80.875277382055899"/>
        <n v="53.1245490399399"/>
        <n v="87.378675626404203"/>
        <n v="50.564942060323503"/>
        <n v="66.596902572086407"/>
        <n v="62.283002040413201"/>
        <n v="52.886946623170303"/>
        <n v="104.739616090862"/>
        <n v="54.510846569037803"/>
        <n v="86.813375715305597"/>
        <n v="127.880425576185"/>
        <n v="73.851058984704906"/>
        <n v="92.569897612197906"/>
        <m/>
        <n v="85.805852728725895"/>
        <n v="122.97115433005099"/>
        <n v="49.111119937391202"/>
        <n v="67.833550760428494"/>
      </sharedItems>
    </cacheField>
    <cacheField name="Average Day Sales Amt Forecast (July)" numFmtId="164">
      <sharedItems containsSemiMixedTypes="0" containsString="0" containsNumber="1" minValue="0" maxValue="39425.3671428542" count="75">
        <n v="4561.4642857142799"/>
        <n v="3870.2696825397002"/>
        <n v="9709.4354761909199"/>
        <n v="4089.54158730161"/>
        <n v="3580.40134920638"/>
        <n v="10241.301190476701"/>
        <n v="4409.2443650793803"/>
        <n v="9272.8096825400298"/>
        <n v="2476.0650793651398"/>
        <n v="10457.2914285719"/>
        <n v="6129.9080158730703"/>
        <n v="3751.3064285714599"/>
        <n v="3048.32960317469"/>
        <n v="17687.030079364999"/>
        <n v="11345.1145238101"/>
        <n v="7793.5436507938703"/>
        <n v="6271.7984126984502"/>
        <n v="6151.8521428571903"/>
        <n v="3920.3161904762301"/>
        <n v="4145.6817460317598"/>
        <n v="4464.1666666666497"/>
        <n v="3750.7948412698902"/>
        <n v="3193.0084126984898"/>
        <n v="4293.6448412698601"/>
        <n v="3980.6669047619498"/>
        <n v="2407.1282539683398"/>
        <n v="4101.3307936508199"/>
        <n v="15121.6982539684"/>
        <n v="5106.2593650793497"/>
        <n v="2509.1811904762699"/>
        <n v="7332.2123809525501"/>
        <n v="3228.65015873022"/>
        <n v="2369.1450793651402"/>
        <n v="5245.5211111110802"/>
        <n v="14421.7595238097"/>
        <n v="3374.25611111117"/>
        <n v="6196.3576190476697"/>
        <n v="2636.6659523810599"/>
        <n v="2825.73412698423"/>
        <n v="2802.28404761915"/>
        <n v="2396.2592063492698"/>
        <n v="5881.7907936508"/>
        <n v="2279.2357936508402"/>
        <n v="3870.44253968257"/>
        <n v="2877.8226190477098"/>
        <n v="3877.3061904762299"/>
        <n v="2029.8727777778099"/>
        <n v="11355.8124603181"/>
        <n v="15594.014682539801"/>
        <n v="8077.77492063523"/>
        <n v="3533.4662698413099"/>
        <n v="5842.21611111109"/>
        <n v="3702.4175396825999"/>
        <n v="3675.44134920638"/>
        <n v="3948.5844444444701"/>
        <n v="3208.7139682540401"/>
        <n v="8707.94309523843"/>
        <n v="3828.6503968254201"/>
        <n v="6298.2857142857802"/>
        <n v="7149.1165079366901"/>
        <n v="5506.1608730158596"/>
        <n v="9588.0766666671097"/>
        <n v="3271.94650793658"/>
        <n v="5413.9276190475803"/>
        <n v="5631.1505555554804"/>
        <n v="2500.5426984127698"/>
        <n v="3795.4068253968499"/>
        <n v="3498.0218253968901"/>
        <n v="10837.27"/>
        <n v="4836.53"/>
        <n v="3416.74841269846"/>
        <n v="3764.3981746032"/>
        <n v="5495.05349206351"/>
        <n v="39425.3671428542"/>
        <n v="2500"/>
      </sharedItems>
    </cacheField>
    <cacheField name="Average Day Sales Amt Forecast (June)" numFmtId="164">
      <sharedItems containsString="0" containsBlank="1" containsNumber="1" minValue="0" maxValue="32257.118571426199" count="74">
        <n v="3732.1071428571399"/>
        <n v="3166.5842857143002"/>
        <n v="7944.0835714289296"/>
        <n v="3345.9885714285901"/>
        <n v="2929.4192857143098"/>
        <n v="8379.2464285718597"/>
        <n v="3607.56357142858"/>
        <n v="7586.8442857145701"/>
        <n v="2025.87142857148"/>
        <n v="8555.9657142861397"/>
        <n v="5015.3792857143299"/>
        <n v="3069.2507142857398"/>
        <n v="2494.0878571429298"/>
        <n v="14471.2064285714"/>
        <n v="9282.3664285718605"/>
        <n v="6376.5357142858902"/>
        <n v="5131.4714285714599"/>
        <n v="5033.3335714286104"/>
        <n v="3207.5314285714599"/>
        <n v="3391.9214285714402"/>
        <n v="3652.49999999999"/>
        <n v="3068.8321428571799"/>
        <n v="2612.4614285714902"/>
        <n v="3512.9821428571599"/>
        <n v="3256.90928571432"/>
        <n v="1969.46857142864"/>
        <n v="3355.63428571431"/>
        <n v="12372.298571428701"/>
        <n v="4177.8485714285598"/>
        <n v="2052.9664285714898"/>
        <n v="5999.0828571429902"/>
        <n v="2641.6228571429101"/>
        <n v="1938.39142857148"/>
        <n v="4291.78999999997"/>
        <n v="11799.6214285716"/>
        <n v="2760.7550000000501"/>
        <n v="5069.7471428571798"/>
        <n v="2157.2721428572299"/>
        <n v="2311.9642857143699"/>
        <n v="2292.7778571429399"/>
        <n v="1960.5757142857699"/>
        <n v="4812.3742857142897"/>
        <n v="1864.8292857143199"/>
        <n v="3166.7257142857402"/>
        <n v="2354.5821428572199"/>
        <n v="3172.3414285714598"/>
        <n v="1660.8050000000301"/>
        <n v="9291.1192857147907"/>
        <n v="12758.7392857144"/>
        <n v="6609.0885714288197"/>
        <n v="2891.0178571428901"/>
        <n v="4779.9949999999799"/>
        <n v="3029.2507142857598"/>
        <n v="3007.17928571431"/>
        <n v="3230.6600000000199"/>
        <n v="2625.3114285714901"/>
        <n v="7124.6807142859898"/>
        <n v="3132.5321428571601"/>
        <n v="5153.1428571429096"/>
        <n v="5849.2771428572896"/>
        <n v="4505.0407142857002"/>
        <n v="7844.7900000003601"/>
        <n v="2677.0471428572"/>
        <n v="4429.5771428571097"/>
        <n v="4607.3049999999403"/>
        <n v="2045.89857142863"/>
        <n v="3105.3328571428801"/>
        <n v="2862.0178571429101"/>
        <m/>
        <n v="2795.5214285714701"/>
        <n v="0"/>
        <n v="3079.96214285716"/>
        <n v="4495.95285714287"/>
        <n v="32257.118571426199"/>
      </sharedItems>
    </cacheField>
    <cacheField name="Average Day Sales Amt Forecast (Aug)" numFmtId="164">
      <sharedItems containsSemiMixedTypes="0" containsString="0" containsNumber="1" minValue="0" maxValue="42727.272727272699" count="77">
        <n v="4810.6278910068404"/>
        <n v="3283.5279159335701"/>
        <n v="9487.3669381723594"/>
        <n v="4001.6115156403398"/>
        <n v="2785.0108995601499"/>
        <n v="10050.1100259045"/>
        <n v="4346.3425229716904"/>
        <n v="9696.48968695027"/>
        <n v="2374.6678091397998"/>
        <n v="8491.2153624147504"/>
        <n v="5929.9627353372998"/>
        <n v="3847.0062245845602"/>
        <n v="2807.8516422287598"/>
        <n v="15726.6187446237"/>
        <n v="9939.7977360706409"/>
        <n v="8465.5107121214405"/>
        <n v="5528.8641143695904"/>
        <n v="6214.5377338710896"/>
        <n v="3142.9931901270902"/>
        <n v="4157.4736639785197"/>
        <n v="5154.04584042034"/>
        <n v="3320.2266356304999"/>
        <n v="2827.30702541546"/>
        <n v="4659.7660124633703"/>
        <n v="4288.5036925709301"/>
        <n v="2218.91839418378"/>
        <n v="3643.5175249267299"/>
        <n v="14756.879327224"/>
        <n v="5185.6779049365005"/>
        <n v="2005.73185606064"/>
        <n v="6559.8258396873798"/>
        <n v="3195.0383734115399"/>
        <n v="1800.01889540569"/>
        <n v="4931.9064266862397"/>
        <n v="13053.778815005"/>
        <n v="2685.9381463832101"/>
        <n v="6336.5177996091397"/>
        <n v="2563.5323137830401"/>
        <n v="2349.5921041056099"/>
        <n v="2770.7591121701098"/>
        <n v="1944.41131695995"/>
        <n v="5639.2454464809998"/>
        <n v="2524.1371075269099"/>
        <n v="3194.4445212610199"/>
        <n v="2789.7991346530098"/>
        <n v="3193.9738086510301"/>
        <n v="1778.5710281036299"/>
        <n v="9735.1486021509099"/>
        <n v="15941.2877174978"/>
        <n v="5863.5284919356"/>
        <n v="3747.80594061582"/>
        <n v="5408.4894753177496"/>
        <n v="2799.04389931576"/>
        <n v="3918.9314877810498"/>
        <n v="4405.3179125122397"/>
        <n v="3015.3868245356898"/>
        <n v="8401.9293428643705"/>
        <n v="3962.9613829423101"/>
        <n v="5882.1023406648601"/>
        <n v="7356.3546774195602"/>
        <n v="5316.2878863636997"/>
        <n v="7015.2578179376496"/>
        <n v="3360.7141933039902"/>
        <n v="3715.55120405668"/>
        <n v="4142.1846187683504"/>
        <n v="2550.1628726784402"/>
        <n v="3420.3566840175899"/>
        <n v="3276.0305740469398"/>
        <n v="9852.0636363636404"/>
        <n v="4396.8454545454497"/>
        <n v="2391.14330400785"/>
        <n v="3454.54545454545"/>
        <n v="4545.4545454545496"/>
        <n v="42727.272727272699"/>
        <n v="10837.27"/>
        <n v="4836.53"/>
        <n v="2500"/>
      </sharedItems>
    </cacheField>
    <cacheField name="Average Day Sales Amt in 14 days" numFmtId="169">
      <sharedItems containsString="0" containsBlank="1" containsNumber="1" minValue="0" maxValue="32257.118571426199" count="74">
        <n v="3732.1071428571399"/>
        <n v="3166.5842857143002"/>
        <n v="7944.0835714289296"/>
        <n v="3345.9885714285901"/>
        <n v="2929.4192857143098"/>
        <n v="8379.2464285718597"/>
        <n v="3607.56357142858"/>
        <n v="7586.8442857145701"/>
        <n v="2025.87142857148"/>
        <n v="8555.9657142861397"/>
        <n v="5015.3792857143299"/>
        <n v="3069.2507142857398"/>
        <n v="2494.0878571429298"/>
        <n v="14471.2064285714"/>
        <n v="9282.3664285718605"/>
        <n v="6376.5357142858902"/>
        <n v="5131.4714285714599"/>
        <n v="5033.3335714286104"/>
        <n v="3207.5314285714599"/>
        <n v="3391.9214285714402"/>
        <n v="3652.49999999999"/>
        <n v="3068.8321428571799"/>
        <n v="2612.4614285714902"/>
        <n v="3512.9821428571599"/>
        <n v="3256.90928571432"/>
        <n v="1969.46857142864"/>
        <n v="3355.63428571431"/>
        <n v="12372.298571428701"/>
        <n v="4177.8485714285598"/>
        <n v="2052.9664285714898"/>
        <n v="5999.0828571429902"/>
        <n v="2641.6228571429101"/>
        <n v="1938.39142857148"/>
        <n v="4291.78999999997"/>
        <n v="11799.6214285716"/>
        <n v="2760.7550000000501"/>
        <n v="5069.7471428571798"/>
        <n v="2157.2721428572299"/>
        <n v="2311.9642857143699"/>
        <n v="2292.7778571429399"/>
        <n v="1960.5757142857699"/>
        <n v="4812.3742857142897"/>
        <n v="1864.8292857143199"/>
        <n v="3166.7257142857402"/>
        <n v="2354.5821428572199"/>
        <n v="3172.3414285714598"/>
        <n v="1660.8050000000301"/>
        <n v="9291.1192857147907"/>
        <n v="12758.7392857144"/>
        <n v="6609.0885714288197"/>
        <n v="2891.0178571428901"/>
        <n v="4779.9949999999799"/>
        <n v="3029.2507142857598"/>
        <n v="3007.17928571431"/>
        <n v="3230.6600000000199"/>
        <n v="2625.3114285714901"/>
        <n v="7124.6807142859898"/>
        <n v="3132.5321428571601"/>
        <n v="5153.1428571429096"/>
        <n v="5849.2771428572896"/>
        <n v="4505.0407142857002"/>
        <n v="7844.7900000003601"/>
        <n v="2677.0471428572"/>
        <n v="4429.5771428571097"/>
        <n v="4607.3049999999403"/>
        <n v="2045.89857142863"/>
        <n v="3105.3328571428801"/>
        <n v="2862.0178571429101"/>
        <m/>
        <n v="2795.5214285714701"/>
        <n v="0"/>
        <n v="3079.96214285716"/>
        <n v="4495.95285714287"/>
        <n v="32257.118571426199"/>
      </sharedItems>
    </cacheField>
    <cacheField name="Average Day Sales Qty in 14 days" numFmtId="167">
      <sharedItems containsString="0" containsBlank="1" containsNumber="1" minValue="0" maxValue="3841.7142857142899" count="74">
        <n v="467.857142857143"/>
        <n v="377.28571428571399"/>
        <n v="913.07142857142901"/>
        <n v="390.42857142857099"/>
        <n v="340.21428571428601"/>
        <n v="993.21428571428601"/>
        <n v="429.357142857143"/>
        <n v="876.28571428571399"/>
        <n v="230.71428571428601"/>
        <n v="1028.42857142857"/>
        <n v="619.21428571428601"/>
        <n v="364.21428571428601"/>
        <n v="298.357142857143"/>
        <n v="1568.6428571428601"/>
        <n v="1084.7857142857099"/>
        <n v="742.857142857143"/>
        <n v="606.42857142857099"/>
        <n v="645.21428571428601"/>
        <n v="386.142857142857"/>
        <n v="393.57142857142901"/>
        <n v="414.28571428571399"/>
        <n v="363.21428571428601"/>
        <n v="325.28571428571399"/>
        <n v="423.21428571428601"/>
        <n v="394.78571428571399"/>
        <n v="246"/>
        <n v="358"/>
        <n v="1409.42857142857"/>
        <n v="479.42857142857099"/>
        <n v="239.07142857142901"/>
        <n v="670.28571428571399"/>
        <n v="294.857142857143"/>
        <n v="214.42857142857099"/>
        <n v="492.42857142857099"/>
        <n v="1370"/>
        <n v="310.21428571428601"/>
        <n v="568.142857142857"/>
        <n v="265.642857142857"/>
        <n v="278.57142857142901"/>
        <n v="257.92857142857099"/>
        <n v="235.28571428571399"/>
        <n v="573.28571428571399"/>
        <n v="209.92857142857099"/>
        <n v="370.28571428571399"/>
        <n v="270.357142857143"/>
        <n v="383.71428571428601"/>
        <n v="194.5"/>
        <n v="1084.5"/>
        <n v="1576.07142857143"/>
        <n v="780.42857142857099"/>
        <n v="316.07142857142901"/>
        <n v="554.07142857142901"/>
        <n v="360.642857142857"/>
        <n v="357.07142857142901"/>
        <n v="366.142857142857"/>
        <n v="297.42857142857099"/>
        <n v="767.642857142857"/>
        <n v="361.07142857142901"/>
        <n v="600"/>
        <n v="704.42857142857099"/>
        <n v="506.78571428571399"/>
        <n v="888.857142857143"/>
        <n v="288.142857142857"/>
        <n v="478"/>
        <n v="519.5"/>
        <n v="228"/>
        <n v="313.142857142857"/>
        <n v="333.92857142857099"/>
        <m/>
        <n v="322.857142857143"/>
        <n v="0"/>
        <n v="358.642857142857"/>
        <n v="511.857142857143"/>
        <n v="3841.7142857142899"/>
      </sharedItems>
    </cacheField>
    <cacheField name="Week Sales QTY" numFmtId="167">
      <sharedItems containsString="0" containsBlank="1" containsNumber="1" minValue="0" maxValue="26892" count="73">
        <n v="3275"/>
        <n v="2641"/>
        <n v="6391.5"/>
        <n v="2733"/>
        <n v="2381.5"/>
        <n v="6952.5"/>
        <n v="3005.5"/>
        <n v="6134"/>
        <n v="1615"/>
        <n v="7199"/>
        <n v="4334.5"/>
        <n v="2549.5"/>
        <n v="2088.5"/>
        <n v="10980.5"/>
        <n v="7593.5"/>
        <n v="5200"/>
        <n v="4245"/>
        <n v="4516.5"/>
        <n v="2703"/>
        <n v="2755"/>
        <n v="2900"/>
        <n v="2542.5"/>
        <n v="2277"/>
        <n v="2962.5"/>
        <n v="2763.5"/>
        <n v="1722"/>
        <n v="2506"/>
        <n v="9866"/>
        <n v="3356"/>
        <n v="1673.5"/>
        <n v="4692"/>
        <n v="2064"/>
        <n v="1501"/>
        <n v="3447"/>
        <n v="9590"/>
        <n v="2171.5"/>
        <n v="3977"/>
        <n v="1859.5"/>
        <n v="1950"/>
        <n v="1805.5"/>
        <n v="1647"/>
        <n v="4013"/>
        <n v="1469.5"/>
        <n v="2592"/>
        <n v="1892.5"/>
        <n v="2686"/>
        <n v="1361.5"/>
        <n v="7591.5"/>
        <n v="11032.5"/>
        <n v="5463"/>
        <n v="2212.5"/>
        <n v="3878.5"/>
        <n v="2524.5"/>
        <n v="2499.5"/>
        <n v="2563"/>
        <n v="2082"/>
        <n v="5373.5"/>
        <n v="2527.5"/>
        <n v="4200"/>
        <n v="4931"/>
        <n v="3547.5"/>
        <n v="6222"/>
        <n v="2017"/>
        <n v="3346"/>
        <n v="3636.5"/>
        <n v="1596"/>
        <n v="2192"/>
        <n v="2337.5"/>
        <m/>
        <n v="2260"/>
        <n v="2510.5"/>
        <n v="3583"/>
        <n v="26892"/>
      </sharedItems>
    </cacheField>
    <cacheField name="Replenish amount（10k）" numFmtId="170">
      <sharedItems containsString="0" containsBlank="1" containsNumber="1" minValue="-650.261269835755" maxValue="674285.34531746199" count="73">
        <n v="172270.31714285701"/>
        <n v="122577.468730159"/>
        <n v="368503.36690478103"/>
        <n v="121514.836349206"/>
        <n v="120690.38039682699"/>
        <n v="383251.19976192899"/>
        <n v="139261.19246031699"/>
        <n v="328143.80873017298"/>
        <n v="66118.900317462103"/>
        <n v="447205.35571430897"/>
        <n v="223288.42706349399"/>
        <n v="98386.190714286102"/>
        <n v="96510.253412702397"/>
        <n v="674285.34531746199"/>
        <n v="364377.81309526198"/>
        <n v="143343.17460318701"/>
        <n v="255556.64365079399"/>
        <n v="216560.62357143199"/>
        <n v="159925.66476190701"/>
        <n v="154196.93698412701"/>
        <n v="115270.876666665"/>
        <n v="70948.334365080402"/>
        <n v="62087.153650795997"/>
        <n v="145140.574365079"/>
        <n v="117015.692619049"/>
        <n v="26589.253015874699"/>
        <n v="-650.261269835755"/>
        <n v="516398.523015882"/>
        <n v="159710.887460317"/>
        <n v="46556.0080952399"/>
        <n v="406459.55489048501"/>
        <n v="111625.410634923"/>
        <n v="49273.025873017097"/>
        <n v="165987.954444442"/>
        <n v="478051.98809525103"/>
        <n v="100375.572222224"/>
        <n v="216109.21047619201"/>
        <n v="51392.020476194899"/>
        <n v="64436.0353968286"/>
        <n v="77240.469523812804"/>
        <n v="21389.091269842698"/>
        <n v="227651.19317460299"/>
        <n v="83561.778730159902"/>
        <n v="94601.637936508603"/>
        <n v="62161.733809527701"/>
        <n v="49755.188095238002"/>
        <n v="18869.7255555554"/>
        <n v="423605.52266352501"/>
        <n v="377748.99650794599"/>
        <n v="297934.93412699999"/>
        <n v="124999.88636825699"/>
        <n v="146358.489444443"/>
        <n v="147736.68993650901"/>
        <n v="77017.159841270404"/>
        <n v="129752.958888889"/>
        <n v="111613.323650797"/>
        <n v="275445.67738096701"/>
        <n v="75092.166587301501"/>
        <n v="217128.772857145"/>
        <n v="245667.306031755"/>
        <n v="264574.46700317302"/>
        <n v="374976.56333335699"/>
        <n v="46773.831587303102"/>
        <n v="215791.425188831"/>
        <n v="97724.901111106403"/>
        <n v="66124.619682541306"/>
        <n v="145227.60645867599"/>
        <n v="54429.356458677401"/>
        <m/>
        <n v="74692.682539684203"/>
        <n v="93580.024920633994"/>
        <n v="201480.62396825501"/>
        <n v="476065.62281919201"/>
      </sharedItems>
    </cacheField>
    <cacheField name="Replenish Quantity" numFmtId="1">
      <sharedItems containsString="0" containsBlank="1" containsNumber="1" minValue="0" maxValue="84285.668164682706" count="73">
        <n v="21533.7896428571"/>
        <n v="15322.183591269801"/>
        <n v="46062.920863097701"/>
        <n v="15189.354543650799"/>
        <n v="15086.2975496033"/>
        <n v="47906.399970241102"/>
        <n v="17407.649057539598"/>
        <n v="41017.976091271601"/>
        <n v="8264.8625396827592"/>
        <n v="55900.6694642886"/>
        <n v="27911.0533829368"/>
        <n v="12298.273839285799"/>
        <n v="12063.7816765878"/>
        <n v="84285.668164682706"/>
        <n v="45547.226636907799"/>
        <n v="17917.896825398399"/>
        <n v="31944.5804563493"/>
        <n v="27070.077946428999"/>
        <n v="19990.7080952383"/>
        <n v="19274.6171230158"/>
        <n v="14408.8595833331"/>
        <n v="8868.5417956350502"/>
        <n v="7760.8942063494997"/>
        <n v="18142.5717956349"/>
        <n v="14626.9615773812"/>
        <n v="3323.6566269843402"/>
        <n v="0"/>
        <n v="64549.815376985302"/>
        <n v="19963.860932539599"/>
        <n v="5819.5010119049803"/>
        <n v="50807.444361310598"/>
        <n v="13953.1763293653"/>
        <n v="6159.1282341271399"/>
        <n v="20748.494305555199"/>
        <n v="59756.4985119064"/>
        <n v="12546.946527778"/>
        <n v="27013.651309523899"/>
        <n v="6424.0025595243596"/>
        <n v="8054.5044246035804"/>
        <n v="9655.0586904766005"/>
        <n v="2673.63640873034"/>
        <n v="28456.399146825399"/>
        <n v="10445.22234127"/>
        <n v="11825.204742063601"/>
        <n v="7770.2167261909599"/>
        <n v="6219.3985119047502"/>
        <n v="2358.71569444443"/>
        <n v="52950.690332940598"/>
        <n v="47218.624563493198"/>
        <n v="37241.866765874998"/>
        <n v="15624.985796032101"/>
        <n v="18294.8111805554"/>
        <n v="18467.0862420636"/>
        <n v="9627.1449801588005"/>
        <n v="16219.119861111099"/>
        <n v="13951.665456349599"/>
        <n v="34430.709672620898"/>
        <n v="9386.5208234126894"/>
        <n v="27141.096607143099"/>
        <n v="30708.4132539694"/>
        <n v="33071.808375396598"/>
        <n v="46872.070416669601"/>
        <n v="5846.7289484128896"/>
        <n v="26973.928148603802"/>
        <n v="12215.6126388883"/>
        <n v="8265.5774603176706"/>
        <n v="18153.4508073344"/>
        <n v="6803.6695573346797"/>
        <m/>
        <n v="9336.5853174605199"/>
        <n v="11697.5031150793"/>
        <n v="25185.0779960318"/>
        <n v="59508.202852399001"/>
      </sharedItems>
    </cacheField>
    <cacheField name="Inventory Status" numFmtId="167">
      <sharedItems containsBlank="1" count="3">
        <s v="Out of Stock Risk"/>
        <s v="Normal"/>
        <m/>
      </sharedItems>
    </cacheField>
    <cacheField name="Week 7/3" numFmtId="164">
      <sharedItems containsString="0" containsBlank="1" containsNumber="1" minValue="0" maxValue="329000" count="58">
        <n v="60000"/>
        <n v="30339.7979432262"/>
        <n v="108000"/>
        <n v="36974.8904045167"/>
        <n v="21444.583926613199"/>
        <n v="18284.942130376501"/>
        <n v="72000"/>
        <n v="35546.3375151613"/>
        <n v="21620.457645161499"/>
        <n v="145313.957200323"/>
        <n v="91843.731081292703"/>
        <n v="78221.318980002194"/>
        <n v="61304.045300129997"/>
        <n v="57422.328660968902"/>
        <n v="30000"/>
        <n v="47623.383565483899"/>
        <n v="30678.894113225801"/>
        <n v="21770.264095699102"/>
        <n v="39625.774119355403"/>
        <n v="20000"/>
        <n v="28055.084941935798"/>
        <n v="47915.663841613299"/>
        <n v="96000"/>
        <n v="24601.795475268798"/>
        <n v="144000"/>
        <n v="20681.7237271507"/>
        <n v="84000"/>
        <n v="19739.198816129399"/>
        <n v="21710.2310419358"/>
        <n v="21334.845163709801"/>
        <n v="66000"/>
        <n v="29516.667376451798"/>
        <n v="21481.453336828199"/>
        <n v="29512.317991935499"/>
        <n v="120000"/>
        <n v="147297.49850968001"/>
        <n v="54179.003265484898"/>
        <n v="34629.7268912902"/>
        <n v="49974.442751936003"/>
        <n v="25863.1656296777"/>
        <n v="36210.926947096901"/>
        <n v="23218.478548924799"/>
        <n v="36617.7631783869"/>
        <n v="67972.717219356797"/>
        <n v="78000"/>
        <n v="31052.999146128899"/>
        <n v="38273.785877419497"/>
        <n v="19636.254119624002"/>
        <n v="48000"/>
        <n v="30270.522504193701"/>
        <n v="300000"/>
        <m/>
        <n v="200000"/>
        <n v="18411.8034408604"/>
        <n v="33855.71"/>
        <n v="26600"/>
        <n v="35000"/>
        <n v="329000"/>
      </sharedItems>
    </cacheField>
    <cacheField name="Week 7/10" numFmtId="164">
      <sharedItems containsString="0" containsBlank="1" containsNumber="1" minValue="0" maxValue="329000" count="59">
        <n v="50000"/>
        <n v="25283.164952688501"/>
        <n v="90000"/>
        <n v="30812.408670430599"/>
        <n v="21444.583926613199"/>
        <n v="18284.942130376501"/>
        <n v="60000"/>
        <n v="29621.947929301099"/>
        <n v="21620.457645161499"/>
        <n v="145313.957200323"/>
        <n v="76536.442567743899"/>
        <n v="65184.432483335098"/>
        <n v="61304.045300129997"/>
        <n v="47851.940550807398"/>
        <n v="30000"/>
        <n v="39686.152971236603"/>
        <n v="25565.745094354901"/>
        <n v="21770.264095699102"/>
        <n v="33021.478432796102"/>
        <n v="20000"/>
        <n v="28055.084941935798"/>
        <n v="39929.719868011001"/>
        <n v="80000"/>
        <n v="24601.795475268798"/>
        <n v="120000"/>
        <n v="20681.7237271507"/>
        <n v="70000"/>
        <n v="19739.198816129399"/>
        <n v="18091.859201613199"/>
        <n v="21334.845163709801"/>
        <n v="55000"/>
        <n v="24597.222813709799"/>
        <n v="21481.453336828199"/>
        <n v="24593.598326612901"/>
        <n v="100000"/>
        <n v="122747.915424733"/>
        <n v="54179.003265484898"/>
        <n v="28858.105742741802"/>
        <n v="41645.368959946602"/>
        <n v="21552.638024731401"/>
        <n v="30175.772455914099"/>
        <n v="23218.478548924799"/>
        <n v="30514.802648655801"/>
        <n v="56643.931016130598"/>
        <n v="65000"/>
        <n v="25877.4992884407"/>
        <n v="25000"/>
        <n v="19636.254119624002"/>
        <n v="40000"/>
        <n v="25225.435420161401"/>
        <n v="75860.89"/>
        <n v="200000"/>
        <n v="33855.71"/>
        <m/>
        <n v="18411.8034408604"/>
        <n v="26600"/>
        <n v="35000"/>
        <n v="329000"/>
        <n v="300000"/>
      </sharedItems>
    </cacheField>
    <cacheField name="Week 7/17" numFmtId="164">
      <sharedItems containsString="0" containsBlank="1" containsNumber="1" minValue="0" maxValue="329000" count="60">
        <n v="50000"/>
        <n v="25283.164952688501"/>
        <n v="90000"/>
        <n v="30812.408670430599"/>
        <n v="21444.583926613199"/>
        <n v="18284.942130376501"/>
        <n v="60000"/>
        <n v="29621.947929301099"/>
        <n v="21620.457645161499"/>
        <n v="145313.957200323"/>
        <n v="76536.442567743899"/>
        <n v="65184.432483335098"/>
        <n v="61304.045300129997"/>
        <n v="47851.940550807398"/>
        <n v="30000"/>
        <n v="39686.152971236603"/>
        <n v="25565.745094354901"/>
        <n v="21770.264095699102"/>
        <n v="33021.478432796102"/>
        <n v="20000"/>
        <n v="28055.084941935798"/>
        <n v="39929.719868011001"/>
        <n v="80000"/>
        <n v="24601.795475268798"/>
        <n v="120000"/>
        <n v="20681.7237271507"/>
        <n v="70000"/>
        <n v="19739.198816129399"/>
        <n v="18091.859201613199"/>
        <n v="21334.845163709801"/>
        <n v="14971.9671405916"/>
        <n v="55000"/>
        <n v="24597.222813709799"/>
        <n v="21481.453336828199"/>
        <n v="24593.598326612901"/>
        <n v="13694.9969163979"/>
        <n v="100000"/>
        <n v="122747.915424733"/>
        <n v="54179.003265484898"/>
        <n v="28858.105742741802"/>
        <n v="41645.368959946602"/>
        <n v="21552.638024731401"/>
        <n v="30175.772455914099"/>
        <n v="23218.478548924799"/>
        <n v="30514.802648655801"/>
        <n v="56643.931016130598"/>
        <n v="65000"/>
        <n v="25877.4992884407"/>
        <n v="40000"/>
        <n v="25000"/>
        <n v="19636.254119624002"/>
        <n v="25225.435420161401"/>
        <n v="75860.89"/>
        <n v="33855.71"/>
        <m/>
        <n v="18411.8034408604"/>
        <n v="26600"/>
        <n v="35000"/>
        <n v="329000"/>
        <n v="200000"/>
      </sharedItems>
    </cacheField>
    <cacheField name="Week 7/24" numFmtId="164">
      <sharedItems containsString="0" containsBlank="1" containsNumber="1" minValue="0" maxValue="329000" count="69">
        <n v="50000"/>
        <n v="25283.164952688501"/>
        <n v="90000"/>
        <n v="30812.408670430599"/>
        <n v="21444.583926613199"/>
        <n v="33466.837426881997"/>
        <n v="18284.942130376501"/>
        <n v="45660.713062097202"/>
        <n v="29621.947929301099"/>
        <n v="21620.457645161499"/>
        <n v="145313.957200323"/>
        <n v="76536.442567743899"/>
        <n v="65184.432483335098"/>
        <n v="61304.045300129997"/>
        <n v="47851.940550807398"/>
        <n v="30000"/>
        <n v="32012.547212634599"/>
        <n v="39686.152971236603"/>
        <n v="25565.745094354901"/>
        <n v="21770.264095699102"/>
        <n v="35880.198295968003"/>
        <n v="33021.478432796102"/>
        <n v="20000"/>
        <n v="28055.084941935798"/>
        <n v="113627.970819625"/>
        <n v="39929.719868011001"/>
        <n v="80000"/>
        <n v="24601.795475268798"/>
        <n v="37975.679485483997"/>
        <n v="100514.09687553901"/>
        <n v="20681.7237271507"/>
        <n v="48791.187056990297"/>
        <n v="19739.198816129399"/>
        <n v="18091.859201613199"/>
        <n v="21334.845163709801"/>
        <n v="14971.9671405916"/>
        <n v="55000"/>
        <n v="24597.222813709799"/>
        <n v="21481.453336828199"/>
        <n v="24593.598326612901"/>
        <n v="13694.9969163979"/>
        <n v="74960.644236562002"/>
        <n v="122747.915424733"/>
        <n v="54179.003265484898"/>
        <n v="28858.105742741802"/>
        <n v="41645.368959946602"/>
        <n v="21552.638024731401"/>
        <n v="30175.772455914099"/>
        <n v="33920.947926344197"/>
        <n v="23218.478548924799"/>
        <n v="64694.855940055699"/>
        <n v="30514.802648655801"/>
        <n v="60000"/>
        <n v="56643.931016130598"/>
        <n v="54017.485198119903"/>
        <n v="25877.4992884407"/>
        <n v="40000"/>
        <n v="25000"/>
        <n v="19636.254119624002"/>
        <n v="26336.746466935499"/>
        <n v="25225.435420161401"/>
        <n v="75860.89"/>
        <n v="33855.71"/>
        <m/>
        <n v="18411.8034408604"/>
        <n v="26600"/>
        <n v="35000"/>
        <n v="329000"/>
        <n v="200000"/>
      </sharedItems>
    </cacheField>
    <cacheField name="Week 7/32" numFmtId="167">
      <sharedItems containsSemiMixedTypes="0" containsString="0" containsNumber="1" minValue="0" maxValue="41125" count="58">
        <n v="7500"/>
        <n v="3792.47474290328"/>
        <n v="13500"/>
        <n v="4621.8613005645902"/>
        <n v="2680.5729908266499"/>
        <n v="2285.6177662970599"/>
        <n v="9000"/>
        <n v="4443.2921893951598"/>
        <n v="2702.5572056451902"/>
        <n v="18164.2446500404"/>
        <n v="11480.466385161601"/>
        <n v="9777.6648725002706"/>
        <n v="7663.0056625162497"/>
        <n v="7177.79108262111"/>
        <n v="3750"/>
        <n v="5952.92294568549"/>
        <n v="3834.8617641532301"/>
        <n v="2721.28301196238"/>
        <n v="4953.2217649194199"/>
        <n v="2500"/>
        <n v="3506.8856177419798"/>
        <n v="5989.4579802016597"/>
        <n v="12000"/>
        <n v="3075.2244344085998"/>
        <n v="18000"/>
        <n v="2585.2154658938398"/>
        <n v="10500"/>
        <n v="2467.3998520161699"/>
        <n v="2713.77888024198"/>
        <n v="2666.8556454637301"/>
        <n v="8250"/>
        <n v="3689.5834220564798"/>
        <n v="2685.1816671035199"/>
        <n v="3689.0397489919401"/>
        <n v="15000"/>
        <n v="18412.187313710001"/>
        <n v="6772.3754081856196"/>
        <n v="4328.7158614112705"/>
        <n v="6246.8053439920004"/>
        <n v="3232.8957037097098"/>
        <n v="4526.3658683871099"/>
        <n v="2902.3098186155999"/>
        <n v="4577.2203972983698"/>
        <n v="8496.5896524195905"/>
        <n v="9750"/>
        <n v="3881.6248932661101"/>
        <n v="4784.2232346774399"/>
        <n v="2454.5317649529902"/>
        <n v="6000"/>
        <n v="3783.8153130242099"/>
        <n v="37500"/>
        <n v="0"/>
        <n v="25000"/>
        <n v="2301.47543010755"/>
        <n v="4231.9637499999999"/>
        <n v="3325"/>
        <n v="4375"/>
        <n v="41125"/>
      </sharedItems>
    </cacheField>
    <cacheField name="Week 7/102" numFmtId="167">
      <sharedItems containsSemiMixedTypes="0" containsString="0" containsNumber="1" minValue="0" maxValue="41125" count="59">
        <n v="6250"/>
        <n v="3160.3956190860599"/>
        <n v="11250"/>
        <n v="3851.5510838038199"/>
        <n v="2680.5729908266499"/>
        <n v="2285.6177662970599"/>
        <n v="7500"/>
        <n v="3702.7434911626301"/>
        <n v="2702.5572056451902"/>
        <n v="18164.2446500404"/>
        <n v="9567.0553209679892"/>
        <n v="8148.05406041689"/>
        <n v="7663.0056625162497"/>
        <n v="5981.4925688509202"/>
        <n v="3750"/>
        <n v="4960.7691214045699"/>
        <n v="3195.7181367943599"/>
        <n v="2721.28301196238"/>
        <n v="4127.6848040995201"/>
        <n v="2500"/>
        <n v="3506.8856177419798"/>
        <n v="4991.2149835013797"/>
        <n v="10000"/>
        <n v="3075.2244344085998"/>
        <n v="15000"/>
        <n v="2585.2154658938398"/>
        <n v="8750"/>
        <n v="2467.3998520161699"/>
        <n v="2261.4824002016499"/>
        <n v="2666.8556454637301"/>
        <n v="6875"/>
        <n v="3074.6528517137299"/>
        <n v="2685.1816671035199"/>
        <n v="3074.1997908266098"/>
        <n v="12500"/>
        <n v="15343.4894280917"/>
        <n v="6772.3754081856196"/>
        <n v="3607.2632178427202"/>
        <n v="5205.6711199933297"/>
        <n v="2694.0797530914201"/>
        <n v="3771.9715569892601"/>
        <n v="2902.3098186155999"/>
        <n v="3814.3503310819701"/>
        <n v="7080.4913770163303"/>
        <n v="8125"/>
        <n v="3234.6874110550898"/>
        <n v="3125"/>
        <n v="2454.5317649529902"/>
        <n v="5000"/>
        <n v="3153.1794275201801"/>
        <n v="9482.6112499999999"/>
        <n v="25000"/>
        <n v="4231.9637499999999"/>
        <n v="0"/>
        <n v="2301.47543010755"/>
        <n v="3325"/>
        <n v="4375"/>
        <n v="41125"/>
        <n v="37500"/>
      </sharedItems>
    </cacheField>
    <cacheField name="Week 7/172" numFmtId="167">
      <sharedItems containsSemiMixedTypes="0" containsString="0" containsNumber="1" minValue="0" maxValue="41125" count="60">
        <n v="6250"/>
        <n v="3160.3956190860599"/>
        <n v="11250"/>
        <n v="3851.5510838038199"/>
        <n v="2680.5729908266499"/>
        <n v="2285.6177662970599"/>
        <n v="7500"/>
        <n v="3702.7434911626301"/>
        <n v="2702.5572056451902"/>
        <n v="18164.2446500404"/>
        <n v="9567.0553209679892"/>
        <n v="8148.05406041689"/>
        <n v="7663.0056625162497"/>
        <n v="5981.4925688509202"/>
        <n v="3750"/>
        <n v="4960.7691214045699"/>
        <n v="3195.7181367943599"/>
        <n v="2721.28301196238"/>
        <n v="4127.6848040995201"/>
        <n v="2500"/>
        <n v="3506.8856177419798"/>
        <n v="4991.2149835013797"/>
        <n v="10000"/>
        <n v="3075.2244344085998"/>
        <n v="15000"/>
        <n v="2585.2154658938398"/>
        <n v="8750"/>
        <n v="2467.3998520161699"/>
        <n v="2261.4824002016499"/>
        <n v="2666.8556454637301"/>
        <n v="1871.49589257395"/>
        <n v="6875"/>
        <n v="3074.6528517137299"/>
        <n v="2685.1816671035199"/>
        <n v="3074.1997908266098"/>
        <n v="1711.87461454974"/>
        <n v="12500"/>
        <n v="15343.4894280917"/>
        <n v="6772.3754081856196"/>
        <n v="3607.2632178427202"/>
        <n v="5205.6711199933297"/>
        <n v="2694.0797530914201"/>
        <n v="3771.9715569892601"/>
        <n v="2902.3098186155999"/>
        <n v="3814.3503310819701"/>
        <n v="7080.4913770163303"/>
        <n v="8125"/>
        <n v="3234.6874110550898"/>
        <n v="5000"/>
        <n v="3125"/>
        <n v="2454.5317649529902"/>
        <n v="3153.1794275201801"/>
        <n v="9482.6112499999999"/>
        <n v="4231.9637499999999"/>
        <n v="0"/>
        <n v="2301.47543010755"/>
        <n v="3325"/>
        <n v="4375"/>
        <n v="41125"/>
        <n v="25000"/>
      </sharedItems>
    </cacheField>
    <cacheField name="Week 7/242" numFmtId="167">
      <sharedItems containsSemiMixedTypes="0" containsString="0" containsNumber="1" minValue="0" maxValue="41125" count="69">
        <n v="6250"/>
        <n v="3160.3956190860599"/>
        <n v="11250"/>
        <n v="3851.5510838038199"/>
        <n v="2680.5729908266499"/>
        <n v="4183.3546783602496"/>
        <n v="2285.6177662970599"/>
        <n v="5707.5891327621503"/>
        <n v="3702.7434911626301"/>
        <n v="2702.5572056451902"/>
        <n v="18164.2446500404"/>
        <n v="9567.0553209679892"/>
        <n v="8148.05406041689"/>
        <n v="7663.0056625162497"/>
        <n v="5981.4925688509202"/>
        <n v="3750"/>
        <n v="4001.5684015793199"/>
        <n v="4960.7691214045699"/>
        <n v="3195.7181367943599"/>
        <n v="2721.28301196238"/>
        <n v="4485.0247869960003"/>
        <n v="4127.6848040995201"/>
        <n v="2500"/>
        <n v="3506.8856177419798"/>
        <n v="14203.496352453099"/>
        <n v="4991.2149835013797"/>
        <n v="10000"/>
        <n v="3075.2244344085998"/>
        <n v="4746.9599356854997"/>
        <n v="12564.262109442299"/>
        <n v="2585.2154658938398"/>
        <n v="6098.8983821237898"/>
        <n v="2467.3998520161699"/>
        <n v="2261.4824002016499"/>
        <n v="2666.8556454637301"/>
        <n v="1871.49589257395"/>
        <n v="6875"/>
        <n v="3074.6528517137299"/>
        <n v="2685.1816671035199"/>
        <n v="3074.1997908266098"/>
        <n v="1711.87461454974"/>
        <n v="9370.0805295702503"/>
        <n v="15343.4894280917"/>
        <n v="6772.3754081856196"/>
        <n v="3607.2632178427202"/>
        <n v="5205.6711199933297"/>
        <n v="2694.0797530914201"/>
        <n v="3771.9715569892601"/>
        <n v="4240.1184907930301"/>
        <n v="2902.3098186155999"/>
        <n v="8086.8569925069596"/>
        <n v="3814.3503310819701"/>
        <n v="7500"/>
        <n v="7080.4913770163303"/>
        <n v="6752.1856497649896"/>
        <n v="3234.6874110550898"/>
        <n v="5000"/>
        <n v="3125"/>
        <n v="2454.5317649529902"/>
        <n v="3292.0933083669302"/>
        <n v="3153.1794275201801"/>
        <n v="9482.6112499999999"/>
        <n v="4231.9637499999999"/>
        <n v="0"/>
        <n v="2301.47543010755"/>
        <n v="3325"/>
        <n v="4375"/>
        <n v="41125"/>
        <n v="25000"/>
      </sharedItems>
    </cacheField>
    <cacheField name="Week 7/33" numFmtId="167">
      <sharedItems containsSemiMixedTypes="0" containsString="0" containsNumber="1" minValue="0" maxValue="5875" count="58">
        <n v="1071.42857142857"/>
        <n v="541.78210612904002"/>
        <n v="1928.57142857143"/>
        <n v="660.265900080655"/>
        <n v="382.93899868952099"/>
        <n v="326.516823756723"/>
        <n v="1285.7142857142901"/>
        <n v="634.75602705645201"/>
        <n v="386.07960080645501"/>
        <n v="2594.89209286291"/>
        <n v="1640.0666264516501"/>
        <n v="1396.8092675000401"/>
        <n v="1094.71509464518"/>
        <n v="1025.39872608873"/>
        <n v="535.71428571428601"/>
        <n v="850.41756366935601"/>
        <n v="547.83739487903199"/>
        <n v="388.754715994626"/>
        <n v="707.60310927420301"/>
        <n v="357.142857142857"/>
        <n v="500.98365967742501"/>
        <n v="855.636854314522"/>
        <n v="1714.2857142857099"/>
        <n v="439.31777634408598"/>
        <n v="2571.4285714285702"/>
        <n v="369.31649512769098"/>
        <n v="1500"/>
        <n v="352.48569314516698"/>
        <n v="387.68269717742498"/>
        <n v="380.97937792339002"/>
        <n v="1178.57142857143"/>
        <n v="527.08334600806802"/>
        <n v="383.59738101478899"/>
        <n v="527.00567842741998"/>
        <n v="2142.8571428571399"/>
        <n v="2630.31247338714"/>
        <n v="967.48220116937398"/>
        <n v="618.38798020161005"/>
        <n v="892.40076342742805"/>
        <n v="461.84224338710101"/>
        <n v="646.62369548387198"/>
        <n v="414.61568837365797"/>
        <n v="653.88862818548102"/>
        <n v="1213.79852177423"/>
        <n v="1392.8571428571399"/>
        <n v="554.51784189515797"/>
        <n v="683.46046209677695"/>
        <n v="350.64739499328499"/>
        <n v="857.142857142857"/>
        <n v="540.54504471774499"/>
        <n v="5357.1428571428596"/>
        <n v="0"/>
        <n v="3571.4285714285702"/>
        <n v="328.78220430107899"/>
        <n v="604.56624999999997"/>
        <n v="475"/>
        <n v="625"/>
        <n v="5875"/>
      </sharedItems>
    </cacheField>
    <cacheField name="Week 7/103" numFmtId="167">
      <sharedItems containsSemiMixedTypes="0" containsString="0" containsNumber="1" minValue="0" maxValue="5875" count="59">
        <n v="892.857142857143"/>
        <n v="451.48508844086598"/>
        <n v="1607.1428571428601"/>
        <n v="550.22158340054602"/>
        <n v="382.93899868952099"/>
        <n v="326.516823756723"/>
        <n v="1071.42857142857"/>
        <n v="528.96335588037596"/>
        <n v="386.07960080645501"/>
        <n v="2594.89209286291"/>
        <n v="1366.7221887097101"/>
        <n v="1164.0077229167"/>
        <n v="1094.71509464518"/>
        <n v="854.49893840727498"/>
        <n v="535.71428571428601"/>
        <n v="708.68130305779596"/>
        <n v="456.53116239919399"/>
        <n v="388.754715994626"/>
        <n v="589.66925772850198"/>
        <n v="357.142857142857"/>
        <n v="500.98365967742501"/>
        <n v="713.03071192876905"/>
        <n v="1428.57142857143"/>
        <n v="439.31777634408598"/>
        <n v="2142.8571428571399"/>
        <n v="369.31649512769098"/>
        <n v="1250"/>
        <n v="352.48569314516698"/>
        <n v="323.06891431452101"/>
        <n v="380.97937792339002"/>
        <n v="982.142857142857"/>
        <n v="439.23612167339002"/>
        <n v="383.59738101478899"/>
        <n v="439.17139868951602"/>
        <n v="1785.7142857142901"/>
        <n v="2191.92706115595"/>
        <n v="967.48220116937398"/>
        <n v="515.32331683467498"/>
        <n v="743.66730285618996"/>
        <n v="384.86853615591798"/>
        <n v="538.85307956989402"/>
        <n v="414.61568837365797"/>
        <n v="544.90719015456796"/>
        <n v="1011.49876814519"/>
        <n v="1160.7142857142901"/>
        <n v="462.09820157929897"/>
        <n v="446.42857142857099"/>
        <n v="350.64739499328499"/>
        <n v="714.28571428571399"/>
        <n v="450.454203931454"/>
        <n v="1354.6587500000001"/>
        <n v="3571.4285714285702"/>
        <n v="604.56624999999997"/>
        <n v="0"/>
        <n v="328.78220430107899"/>
        <n v="475"/>
        <n v="625"/>
        <n v="5875"/>
        <n v="5357.1428571428596"/>
      </sharedItems>
    </cacheField>
    <cacheField name="Week 7/173" numFmtId="167">
      <sharedItems containsSemiMixedTypes="0" containsString="0" containsNumber="1" minValue="0" maxValue="5875" count="60">
        <n v="892.857142857143"/>
        <n v="451.48508844086598"/>
        <n v="1607.1428571428601"/>
        <n v="550.22158340054602"/>
        <n v="382.93899868952099"/>
        <n v="326.516823756723"/>
        <n v="1071.42857142857"/>
        <n v="528.96335588037596"/>
        <n v="386.07960080645501"/>
        <n v="2594.89209286291"/>
        <n v="1366.7221887097101"/>
        <n v="1164.0077229167"/>
        <n v="1094.71509464518"/>
        <n v="854.49893840727498"/>
        <n v="535.71428571428601"/>
        <n v="708.68130305779596"/>
        <n v="456.53116239919399"/>
        <n v="388.754715994626"/>
        <n v="589.66925772850198"/>
        <n v="357.142857142857"/>
        <n v="500.98365967742501"/>
        <n v="713.03071192876905"/>
        <n v="1428.57142857143"/>
        <n v="439.31777634408598"/>
        <n v="2142.8571428571399"/>
        <n v="369.31649512769098"/>
        <n v="1250"/>
        <n v="352.48569314516698"/>
        <n v="323.06891431452101"/>
        <n v="380.97937792339002"/>
        <n v="267.35655608199198"/>
        <n v="982.142857142857"/>
        <n v="439.23612167339002"/>
        <n v="383.59738101478899"/>
        <n v="439.17139868951602"/>
        <n v="244.55351636424899"/>
        <n v="1785.7142857142901"/>
        <n v="2191.92706115595"/>
        <n v="967.48220116937398"/>
        <n v="515.32331683467498"/>
        <n v="743.66730285618996"/>
        <n v="384.86853615591798"/>
        <n v="538.85307956989402"/>
        <n v="414.61568837365797"/>
        <n v="544.90719015456796"/>
        <n v="1011.49876814519"/>
        <n v="1160.7142857142901"/>
        <n v="462.09820157929897"/>
        <n v="714.28571428571399"/>
        <n v="446.42857142857099"/>
        <n v="350.64739499328499"/>
        <n v="450.454203931454"/>
        <n v="1354.6587500000001"/>
        <n v="604.56624999999997"/>
        <n v="0"/>
        <n v="328.78220430107899"/>
        <n v="475"/>
        <n v="625"/>
        <n v="5875"/>
        <n v="3571.4285714285702"/>
      </sharedItems>
    </cacheField>
    <cacheField name="Week 7/243" numFmtId="167">
      <sharedItems containsSemiMixedTypes="0" containsString="0" containsNumber="1" minValue="0" maxValue="5875" count="69">
        <n v="892.857142857143"/>
        <n v="451.48508844086598"/>
        <n v="1607.1428571428601"/>
        <n v="550.22158340054602"/>
        <n v="382.93899868952099"/>
        <n v="597.62209690860698"/>
        <n v="326.516823756723"/>
        <n v="815.369876108879"/>
        <n v="528.96335588037596"/>
        <n v="386.07960080645501"/>
        <n v="2594.89209286291"/>
        <n v="1366.7221887097101"/>
        <n v="1164.0077229167"/>
        <n v="1094.71509464518"/>
        <n v="854.49893840727498"/>
        <n v="535.71428571428601"/>
        <n v="571.65262879704596"/>
        <n v="708.68130305779596"/>
        <n v="456.53116239919399"/>
        <n v="388.754715994626"/>
        <n v="640.71782671371398"/>
        <n v="589.66925772850198"/>
        <n v="357.142857142857"/>
        <n v="500.98365967742501"/>
        <n v="2029.0709074933"/>
        <n v="713.03071192876905"/>
        <n v="1428.57142857143"/>
        <n v="439.31777634408598"/>
        <n v="678.13713366935701"/>
        <n v="1794.8945870631901"/>
        <n v="369.31649512769098"/>
        <n v="871.271197446256"/>
        <n v="352.48569314516698"/>
        <n v="323.06891431452101"/>
        <n v="380.97937792339002"/>
        <n v="267.35655608199198"/>
        <n v="982.142857142857"/>
        <n v="439.23612167339002"/>
        <n v="383.59738101478899"/>
        <n v="439.17139868951602"/>
        <n v="244.55351636424899"/>
        <n v="1338.5829327957499"/>
        <n v="2191.92706115595"/>
        <n v="967.48220116937398"/>
        <n v="515.32331683467498"/>
        <n v="743.66730285618996"/>
        <n v="384.86853615591798"/>
        <n v="538.85307956989402"/>
        <n v="605.73121297043201"/>
        <n v="414.61568837365797"/>
        <n v="1155.26528464385"/>
        <n v="544.90719015456796"/>
        <n v="1071.42857142857"/>
        <n v="1011.49876814519"/>
        <n v="964.597949966427"/>
        <n v="462.09820157929897"/>
        <n v="714.28571428571399"/>
        <n v="446.42857142857099"/>
        <n v="350.64739499328499"/>
        <n v="470.29904405241899"/>
        <n v="450.454203931454"/>
        <n v="1354.6587500000001"/>
        <n v="604.56624999999997"/>
        <n v="0"/>
        <n v="328.78220430107899"/>
        <n v="475"/>
        <n v="625"/>
        <n v="5875"/>
        <n v="3571.4285714285702"/>
      </sharedItems>
    </cacheField>
    <cacheField name="Week 7/34" numFmtId="167">
      <sharedItems containsSemiMixedTypes="0" containsString="0" containsNumber="1" minValue="0" maxValue="37.386363636363598" count="58">
        <n v="6.8181818181818201"/>
        <n v="3.4477043117302499"/>
        <n v="12.2727272727273"/>
        <n v="4.2016920914223501"/>
        <n v="2.43688453711514"/>
        <n v="2.0778343329973201"/>
        <n v="8.1818181818181799"/>
        <n v="4.0393565358137797"/>
        <n v="2.4568701869501699"/>
        <n v="16.512949681854899"/>
        <n v="10.436787622874199"/>
        <n v="8.8887862477275199"/>
        <n v="6.9663687841056801"/>
        <n v="6.5252646205646396"/>
        <n v="3.4090909090909101"/>
        <n v="5.4117481324413497"/>
        <n v="3.4862379674120199"/>
        <n v="2.4738936472385298"/>
        <n v="4.5029288771994702"/>
        <n v="2.2727272727272698"/>
        <n v="3.18807783431089"/>
        <n v="5.4449618001833198"/>
        <n v="10.909090909090899"/>
        <n v="2.7956585767350899"/>
        <n v="16.363636363636399"/>
        <n v="2.3501958780853101"/>
        <n v="9.5454545454545396"/>
        <n v="2.24309077456016"/>
        <n v="2.4670717093108898"/>
        <n v="2.4244142231488501"/>
        <n v="7.5"/>
        <n v="3.3541667473240699"/>
        <n v="2.4410742428213799"/>
        <n v="3.3536724990835798"/>
        <n v="13.636363636363599"/>
        <n v="16.738352103372701"/>
        <n v="6.1567049165323802"/>
        <n v="3.9351962376466099"/>
        <n v="5.67891394908363"/>
        <n v="2.9389960942815501"/>
        <n v="4.1148780621701002"/>
        <n v="2.6384634714687301"/>
        <n v="4.1611094520894198"/>
        <n v="7.7241724112905397"/>
        <n v="8.8636363636363598"/>
        <n v="3.52874990296919"/>
        <n v="4.3492938497067604"/>
        <n v="2.2313925135936299"/>
        <n v="5.4545454545454497"/>
        <n v="3.4398321027492802"/>
        <n v="34.090909090909101"/>
        <n v="0"/>
        <n v="22.727272727272702"/>
        <n v="2.0922503910068602"/>
        <n v="3.8472397727272698"/>
        <n v="3.0227272727272698"/>
        <n v="3.9772727272727302"/>
        <n v="37.386363636363598"/>
      </sharedItems>
    </cacheField>
    <cacheField name="Week 7/104" numFmtId="167">
      <sharedItems containsSemiMixedTypes="0" containsString="0" containsNumber="1" minValue="0" maxValue="37.386363636363598" count="59">
        <n v="5.6818181818181799"/>
        <n v="2.8730869264418799"/>
        <n v="10.2272727272727"/>
        <n v="3.50141007618529"/>
        <n v="2.43688453711514"/>
        <n v="2.0778343329973201"/>
        <n v="6.8181818181818201"/>
        <n v="3.3661304465114901"/>
        <n v="2.4568701869501699"/>
        <n v="16.512949681854899"/>
        <n v="8.6973230190618107"/>
        <n v="7.4073218731062598"/>
        <n v="6.9663687841056801"/>
        <n v="5.4377205171372003"/>
        <n v="3.4090909090909101"/>
        <n v="4.5097901103677902"/>
        <n v="2.9051983061766902"/>
        <n v="2.4738936472385298"/>
        <n v="3.75244073099956"/>
        <n v="2.2727272727272698"/>
        <n v="3.18807783431089"/>
        <n v="4.5374681668194397"/>
        <n v="9.0909090909090899"/>
        <n v="2.7956585767350899"/>
        <n v="13.636363636363599"/>
        <n v="2.3501958780853101"/>
        <n v="7.9545454545454497"/>
        <n v="2.24309077456016"/>
        <n v="2.0558930910924098"/>
        <n v="2.4244142231488501"/>
        <n v="6.25"/>
        <n v="2.7951389561033899"/>
        <n v="2.4410742428213799"/>
        <n v="2.7947270825696502"/>
        <n v="11.363636363636401"/>
        <n v="13.9486267528106"/>
        <n v="6.1567049165323802"/>
        <n v="3.2793301980388398"/>
        <n v="4.7324282909030302"/>
        <n v="2.4491634119012899"/>
        <n v="3.42906505180841"/>
        <n v="2.6384634714687301"/>
        <n v="3.4675912100745201"/>
        <n v="6.4368103427421204"/>
        <n v="7.3863636363636402"/>
        <n v="2.9406249191409901"/>
        <n v="2.8409090909090899"/>
        <n v="2.2313925135936299"/>
        <n v="4.5454545454545503"/>
        <n v="2.8665267522910698"/>
        <n v="8.6205556818181801"/>
        <n v="22.727272727272702"/>
        <n v="3.8472397727272698"/>
        <n v="0"/>
        <n v="2.0922503910068602"/>
        <n v="3.0227272727272698"/>
        <n v="3.9772727272727302"/>
        <n v="37.386363636363598"/>
        <n v="34.090909090909101"/>
      </sharedItems>
    </cacheField>
    <cacheField name="Week 7/174" numFmtId="167">
      <sharedItems containsSemiMixedTypes="0" containsString="0" containsNumber="1" minValue="0" maxValue="37.386363636363598" count="60">
        <n v="5.6818181818181799"/>
        <n v="2.8730869264418799"/>
        <n v="10.2272727272727"/>
        <n v="3.50141007618529"/>
        <n v="2.43688453711514"/>
        <n v="2.0778343329973201"/>
        <n v="6.8181818181818201"/>
        <n v="3.3661304465114901"/>
        <n v="2.4568701869501699"/>
        <n v="16.512949681854899"/>
        <n v="8.6973230190618107"/>
        <n v="7.4073218731062598"/>
        <n v="6.9663687841056801"/>
        <n v="5.4377205171372003"/>
        <n v="3.4090909090909101"/>
        <n v="4.5097901103677902"/>
        <n v="2.9051983061766902"/>
        <n v="2.4738936472385298"/>
        <n v="3.75244073099956"/>
        <n v="2.2727272727272698"/>
        <n v="3.18807783431089"/>
        <n v="4.5374681668194397"/>
        <n v="9.0909090909090899"/>
        <n v="2.7956585767350899"/>
        <n v="13.636363636363599"/>
        <n v="2.3501958780853101"/>
        <n v="7.9545454545454497"/>
        <n v="2.24309077456016"/>
        <n v="2.0558930910924098"/>
        <n v="2.4244142231488501"/>
        <n v="1.7013599023399499"/>
        <n v="6.25"/>
        <n v="2.7951389561033899"/>
        <n v="2.4410742428213799"/>
        <n v="2.7947270825696502"/>
        <n v="1.5562496495906699"/>
        <n v="11.363636363636401"/>
        <n v="13.9486267528106"/>
        <n v="6.1567049165323802"/>
        <n v="3.2793301980388398"/>
        <n v="4.7324282909030302"/>
        <n v="2.4491634119012899"/>
        <n v="3.42906505180841"/>
        <n v="2.6384634714687301"/>
        <n v="3.4675912100745201"/>
        <n v="6.4368103427421204"/>
        <n v="7.3863636363636402"/>
        <n v="2.9406249191409901"/>
        <n v="4.5454545454545503"/>
        <n v="2.8409090909090899"/>
        <n v="2.2313925135936299"/>
        <n v="2.8665267522910698"/>
        <n v="8.6205556818181801"/>
        <n v="3.8472397727272698"/>
        <n v="0"/>
        <n v="2.0922503910068602"/>
        <n v="3.0227272727272698"/>
        <n v="3.9772727272727302"/>
        <n v="37.386363636363598"/>
        <n v="22.727272727272702"/>
      </sharedItems>
    </cacheField>
    <cacheField name="Week 7/244" numFmtId="167">
      <sharedItems containsSemiMixedTypes="0" containsString="0" containsNumber="1" minValue="0" maxValue="37.386363636363598" count="69">
        <n v="5.6818181818181799"/>
        <n v="2.8730869264418799"/>
        <n v="10.2272727272727"/>
        <n v="3.50141007618529"/>
        <n v="2.43688453711514"/>
        <n v="3.8030497076002301"/>
        <n v="2.0778343329973201"/>
        <n v="5.1887173934201396"/>
        <n v="3.3661304465114901"/>
        <n v="2.4568701869501699"/>
        <n v="16.512949681854899"/>
        <n v="8.6973230190618107"/>
        <n v="7.4073218731062598"/>
        <n v="6.9663687841056801"/>
        <n v="5.4377205171372003"/>
        <n v="3.4090909090909101"/>
        <n v="3.6377894559812001"/>
        <n v="4.5097901103677902"/>
        <n v="2.9051983061766902"/>
        <n v="2.4738936472385298"/>
        <n v="4.0772952609054496"/>
        <n v="3.75244073099956"/>
        <n v="2.2727272727272698"/>
        <n v="3.18807783431089"/>
        <n v="12.912269411321001"/>
        <n v="4.5374681668194397"/>
        <n v="9.0909090909090899"/>
        <n v="2.7956585767350899"/>
        <n v="4.3154181233504598"/>
        <n v="11.422056463129399"/>
        <n v="2.3501958780853101"/>
        <n v="5.5444530746579899"/>
        <n v="2.24309077456016"/>
        <n v="2.0558930910924098"/>
        <n v="2.4244142231488501"/>
        <n v="1.7013599023399499"/>
        <n v="6.25"/>
        <n v="2.7951389561033899"/>
        <n v="2.4410742428213799"/>
        <n v="2.7947270825696502"/>
        <n v="1.5562496495906699"/>
        <n v="8.5182550268820396"/>
        <n v="13.9486267528106"/>
        <n v="6.1567049165323802"/>
        <n v="3.2793301980388398"/>
        <n v="4.7324282909030302"/>
        <n v="2.4491634119012899"/>
        <n v="3.42906505180841"/>
        <n v="3.8546531734482099"/>
        <n v="2.6384634714687301"/>
        <n v="7.3516881750063297"/>
        <n v="3.4675912100745201"/>
        <n v="6.8181818181818201"/>
        <n v="6.4368103427421204"/>
        <n v="6.1383505906954499"/>
        <n v="2.9406249191409901"/>
        <n v="4.5454545454545503"/>
        <n v="2.8409090909090899"/>
        <n v="2.2313925135936299"/>
        <n v="2.9928120985153899"/>
        <n v="2.8665267522910698"/>
        <n v="8.6205556818181801"/>
        <n v="3.8472397727272698"/>
        <n v="0"/>
        <n v="2.0922503910068602"/>
        <n v="3.0227272727272698"/>
        <n v="3.9772727272727302"/>
        <n v="37.386363636363598"/>
        <n v="22.7272727272727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5134.040196759299" createdVersion="5" refreshedVersion="5" minRefreshableVersion="3" recordCount="103" xr:uid="{00000000-000A-0000-FFFF-FFFF01000000}">
  <cacheSource type="worksheet">
    <worksheetSource ref="A2:BN90" sheet="明细"/>
  </cacheSource>
  <cacheFields count="60">
    <cacheField name="Contry" numFmtId="0">
      <sharedItems containsBlank="1" count="2">
        <s v="US"/>
        <m/>
      </sharedItems>
    </cacheField>
    <cacheField name="Store Code" numFmtId="0">
      <sharedItems containsBlank="1" count="93">
        <s v="US70"/>
        <s v="US67"/>
        <s v="US73"/>
        <s v="US80"/>
        <s v="US78"/>
        <s v="US43"/>
        <s v="US57"/>
        <s v="US03"/>
        <s v="US85"/>
        <s v="US84"/>
        <s v="US11"/>
        <s v="US17"/>
        <s v="US18"/>
        <s v="US24"/>
        <s v="US77"/>
        <s v="US53"/>
        <s v="US49"/>
        <s v="US09"/>
        <s v="US54"/>
        <s v="US81"/>
        <s v="US19"/>
        <s v="US45"/>
        <s v="US72"/>
        <s v="US52"/>
        <s v="US25"/>
        <s v="US61"/>
        <s v="US42"/>
        <s v="US26"/>
        <s v="US58"/>
        <s v="US46"/>
        <s v="US56"/>
        <s v="US28"/>
        <s v="US23"/>
        <s v="US10"/>
        <s v="US66"/>
        <s v="US71"/>
        <s v="US30"/>
        <s v="US82"/>
        <s v="US16"/>
        <s v="US60"/>
        <s v="US59"/>
        <s v="US75"/>
        <s v="US22"/>
        <s v="US13"/>
        <s v="US01"/>
        <s v="US38"/>
        <s v="US08"/>
        <s v="US47"/>
        <s v="US83"/>
        <s v="US34"/>
        <s v="US39"/>
        <s v="US76"/>
        <s v="US05"/>
        <s v="US86"/>
        <s v="US20"/>
        <s v="US55"/>
        <s v="US27"/>
        <s v="US69"/>
        <s v="US35"/>
        <s v="US74"/>
        <s v="US21"/>
        <s v="US48"/>
        <s v="US64"/>
        <s v="US65"/>
        <s v="US29"/>
        <s v="US51"/>
        <s v="US15"/>
        <s v="USB6"/>
        <s v="USA8"/>
        <s v="US96"/>
        <s v="USC8"/>
        <s v="USA2"/>
        <s v="USB8"/>
        <s v="USA9"/>
        <s v="USA5"/>
        <s v="USA4"/>
        <s v="US95"/>
        <s v="US94"/>
        <s v="US97"/>
        <s v="USA1"/>
        <s v="USA3"/>
        <s v="USA7"/>
        <s v="USAA"/>
        <s v="US99"/>
        <s v="USB1"/>
        <s v="USG2"/>
        <s v="USD6"/>
        <s v="USF6"/>
        <s v="US98"/>
        <s v="USD7"/>
        <s v="USG1"/>
        <s v="USB7"/>
        <m/>
      </sharedItems>
    </cacheField>
    <cacheField name="Store Name" numFmtId="0">
      <sharedItems containsBlank="1" count="93">
        <s v="Providence Place"/>
        <s v="CO-VA-Fair Oaks"/>
        <s v="CO-TX-Deerbrook"/>
        <s v="CO-WA-Southcenter"/>
        <s v="Memorial City"/>
        <s v="CO-VA-Tyson's Corner"/>
        <s v="CO-PA-King of Prussia"/>
        <s v="CO-SCA-Moreno Valley"/>
        <s v="CO-TX-Parks at Arlington"/>
        <s v="CO-TX-Hulen Mall"/>
        <s v="CO-SCA-7 Covina"/>
        <s v="CO-SCA-Escondido"/>
        <s v="CO-SCA-Palm Desert"/>
        <s v="CO-SCA-Valencia"/>
        <s v="Ontario"/>
        <s v="Natick"/>
        <s v="CO-MD-Montgomery"/>
        <s v="CO-SCA-Riverside"/>
        <s v="CO-MD-Mall in Columbia"/>
        <s v="CO-TX-Katy Mills"/>
        <s v="CO-SCA-Irvine"/>
        <s v="CO-NCA-Sunvalley"/>
        <s v="First Colony"/>
        <s v="CO-DE-Christiana"/>
        <s v="CO-NCA-Fairfield"/>
        <s v="CO-MA-Northshore"/>
        <s v="CO-NJ-Cherry Hill"/>
        <s v="CO-NCA-Salinas"/>
        <s v="CO-MA-South Shore"/>
        <s v="CO-NY-Palisades Center"/>
        <s v="CO-SCA-Brea Mall"/>
        <s v="CO-SCA-El Cajon"/>
        <s v="CO-SCA-Sherman Oaks"/>
        <s v="CO-SCA-Hollywood"/>
        <s v="CO-NCA-Alderwood"/>
        <s v="Willowbrook"/>
        <s v="CO-NCA-SFC"/>
        <s v="CO-TX-Grapevine Mills"/>
        <s v="CO-SCA-Culver City"/>
        <s v="CO-NJ-Jersey Gardens"/>
        <s v="CO-VA-Potomac Mills"/>
        <s v="Stoneridge"/>
        <s v="CO-SCA-Topanga"/>
        <s v="CO-NCA-Stonestown"/>
        <s v="CO-SCA-Pasadena"/>
        <s v="FR-NV-Shanghai Plaza"/>
        <s v="CO-SCA-Bakersfield"/>
        <s v="CO-NCA-Roseville"/>
        <s v="CO-TX-Stonebriar Centre"/>
        <s v="CO-SCA-Mission Viejo"/>
        <s v="CO-SCA-University Center"/>
        <s v="Livermore"/>
        <s v="CO-SCA-Arcadia"/>
        <s v="CO-FL-Pembroke Lakes Mall"/>
        <s v="CO-SCA-Cerritos"/>
        <s v="CO-NY-Staten Island"/>
        <s v="CO-NCA-Newark"/>
        <s v="CO-NCA-Oakridge"/>
        <s v="FR-FL-Sand Lake"/>
        <s v="CO-NCA-Great Mall"/>
        <s v="CO-SCA-National City"/>
        <s v="CO-NCA-Valley Fair"/>
        <s v="CO-NY-Tangram"/>
        <s v="CO-NY-SOHO490"/>
        <s v="CO-SCA-Chino Hills"/>
        <s v="CO-NCA-Arden Fair"/>
        <s v="CO-SCA-Torrance"/>
        <s v="Annapolis"/>
        <s v="The SoNo Collection"/>
        <s v="Clackamas"/>
        <s v="Coral Square Mall"/>
        <s v="Vintage Faire"/>
        <s v="Great Lakes Crossing"/>
        <s v="Mall of Louisiana"/>
        <s v="Chandler Fashion Center"/>
        <s v="Arrowhead Towne Center"/>
        <s v="Galleria at Sunset"/>
        <s v="Fashion Show"/>
        <s v="Northridge Fashion Center"/>
        <s v="The Oaks"/>
        <s v="CO-SC-Columbiana Centre"/>
        <s v="Promenade Temecula"/>
        <s v="Times Square"/>
        <s v="CO-WA-Outlet Collection Seattle"/>
        <s v="Maine Mall"/>
        <s v="Eastview Mall"/>
        <s v="Sugarloaf Mills"/>
        <s v="Mall at Wellington Green"/>
        <s v="The Shops at Montebello"/>
        <s v="Arizona Mills"/>
        <s v="Hillsdale"/>
        <s v="Tucson Mall"/>
        <m/>
      </sharedItems>
    </cacheField>
    <cacheField name="Coast" numFmtId="0">
      <sharedItems containsBlank="1" count="4">
        <s v="East"/>
        <s v="Middle"/>
        <s v="West"/>
        <m/>
      </sharedItems>
    </cacheField>
    <cacheField name="Region" numFmtId="0">
      <sharedItems containsBlank="1" count="6">
        <s v="East"/>
        <s v="TX"/>
        <s v="WA"/>
        <s v="West"/>
        <s v="FL"/>
        <m/>
      </sharedItems>
    </cacheField>
    <cacheField name="State" numFmtId="0">
      <sharedItems containsBlank="1" count="22">
        <s v="RI"/>
        <s v="VA"/>
        <s v="TX"/>
        <s v="WA"/>
        <s v="PA"/>
        <s v="CA"/>
        <s v="MA"/>
        <s v="MD"/>
        <s v="DE"/>
        <s v="NJ"/>
        <s v="NY"/>
        <s v="NV"/>
        <s v="FL"/>
        <s v="CT"/>
        <s v="OR"/>
        <s v="MI"/>
        <s v="LA"/>
        <s v="AZ"/>
        <s v="SC"/>
        <s v="ME"/>
        <s v="GA"/>
        <m/>
      </sharedItems>
    </cacheField>
    <cacheField name="Store area" numFmtId="0">
      <sharedItems containsString="0" containsBlank="1" containsNumber="1" minValue="0" maxValue="523.69000000000005" count="87">
        <n v="278"/>
        <n v="333"/>
        <n v="338.07401700000003"/>
        <n v="337"/>
        <n v="279"/>
        <n v="280.75"/>
        <n v="353.03155199999901"/>
        <n v="336.68047200000001"/>
        <n v="321.81599199999999"/>
        <n v="275.92202880000002"/>
        <n v="460.055656"/>
        <n v="299.519272"/>
        <n v="288.83542699999902"/>
        <n v="386"/>
        <n v="190"/>
        <n v="488"/>
        <n v="125.419104"/>
        <n v="209"/>
        <n v="287"/>
        <n v="376.62876199999903"/>
        <n v="331"/>
        <n v="371"/>
        <n v="382"/>
        <n v="324"/>
        <n v="236"/>
        <n v="281.2"/>
        <n v="399"/>
        <n v="378"/>
        <n v="197"/>
        <n v="270"/>
        <n v="398"/>
        <n v="399.48289999999901"/>
        <n v="441.93976129999902"/>
        <n v="411"/>
        <n v="389"/>
        <n v="325.60000000000002"/>
        <n v="327.57597800000002"/>
        <n v="323.20953700000001"/>
        <n v="348"/>
        <n v="259"/>
        <n v="390"/>
        <n v="377.093277"/>
        <n v="390.09969699999903"/>
        <n v="325.16000000000003"/>
        <n v="337.15"/>
        <n v="207.266682199999"/>
        <n v="435.15765199999998"/>
        <n v="345"/>
        <n v="252"/>
        <n v="309"/>
        <n v="303.7929408"/>
        <n v="280.10254500000002"/>
        <n v="292.64445000000001"/>
        <n v="423"/>
        <n v="320"/>
        <n v="495"/>
        <n v="367"/>
        <n v="357"/>
        <n v="303.421198"/>
        <n v="313"/>
        <n v="443"/>
        <n v="311"/>
        <n v="198"/>
        <n v="428.18992700000001"/>
        <n v="335.47273300000001"/>
        <n v="417.32"/>
        <n v="319.12180499999999"/>
        <n v="376.53585900000002"/>
        <n v="432.93"/>
        <n v="311.87537099999997"/>
        <n v="325.35000000000002"/>
        <n v="410.90996899999999"/>
        <n v="362.13589400000001"/>
        <n v="266.82"/>
        <n v="417.41"/>
        <n v="523.69000000000005"/>
        <n v="373"/>
        <n v="204.48"/>
        <n v="275"/>
        <n v="195.00339700000001"/>
        <n v="320.794059"/>
        <n v="301"/>
        <n v="325"/>
        <n v="511.25"/>
        <n v="375.23521699999998"/>
        <n v="349"/>
        <m/>
      </sharedItems>
    </cacheField>
    <cacheField name="Store Rank" numFmtId="0">
      <sharedItems containsBlank="1" count="4">
        <s v="B"/>
        <s v="C"/>
        <s v="A"/>
        <m/>
      </sharedItems>
    </cacheField>
    <cacheField name="PIC" numFmtId="0">
      <sharedItems containsBlank="1" count="6">
        <s v="Irene"/>
        <s v="Mia"/>
        <s v="Yueqi"/>
        <s v="John"/>
        <s v="新店"/>
        <m/>
      </sharedItems>
    </cacheField>
    <cacheField name="DUE：4:30pm--507" numFmtId="0">
      <sharedItems containsDate="1" containsBlank="1" containsMixedTypes="1" count="8">
        <s v="周二或三"/>
        <s v="周一或二"/>
        <d v="2023-09-12T00:00:00"/>
        <d v="2023-09-15T00:00:00"/>
        <d v="2023-08-28T00:00:00"/>
        <d v="2023-08-15T00:00:00"/>
        <d v="2023-08-20T00:00:00"/>
        <m/>
      </sharedItems>
    </cacheField>
    <cacheField name="Store Safety Stock（10k） " numFmtId="0">
      <sharedItems containsBlank="1" containsMixedTypes="1" containsNumber="1" count="85">
        <n v="311422.01199999999"/>
        <n v="253066.40240000101"/>
        <n v="194024.8"/>
        <n v="377443.85"/>
        <n v="309359.80239999999"/>
        <n v="332263.23869999999"/>
        <n v="191217.22"/>
        <n v="217365.58"/>
        <n v="215991.90137931"/>
        <n v="231682.68"/>
        <n v="198258.25"/>
        <n v="188389.07"/>
        <n v="181714.85"/>
        <n v="186768.58"/>
        <n v="392377.94"/>
        <n v="222153.19"/>
        <n v="191787.74"/>
        <n v="139528.18"/>
        <n v="192166.85"/>
        <n v="199953.65"/>
        <n v="494464.2"/>
        <n v="156392.68"/>
        <n v="237423.35999999999"/>
        <n v="234666.8"/>
        <n v="233951.05"/>
        <n v="197795.97"/>
        <n v="188391.77"/>
        <n v="252545.84"/>
        <n v="223948.46"/>
        <n v="194507.45"/>
        <n v="219737.89"/>
        <n v="232901.65"/>
        <n v="402939.02"/>
        <n v="394624.54"/>
        <n v="366427.28"/>
        <n v="226283.46"/>
        <n v="203364.25"/>
        <n v="221969.95137930999"/>
        <n v="249264.48"/>
        <n v="249762.95"/>
        <n v="206154.37"/>
        <n v="226693.97"/>
        <n v="302398.87"/>
        <n v="383888.11"/>
        <n v="202124.52"/>
        <n v="410857.49"/>
        <n v="173540.1"/>
        <n v="228502.73"/>
        <n v="268071.14"/>
        <n v="200256.62"/>
        <n v="211111.71"/>
        <n v="249368.93"/>
        <n v="347547.84"/>
        <n v="184252.26137930999"/>
        <n v="360839.57"/>
        <n v="190681"/>
        <n v="219517.14"/>
        <n v="269204.63"/>
        <n v="210148.96"/>
        <n v="342824.94"/>
        <n v="320705.89"/>
        <n v="432652.89"/>
        <n v="464032.180600002"/>
        <n v="540678.04"/>
        <n v="214041.21"/>
        <n v="262742.03000000003"/>
        <n v="397034.27"/>
        <n v="413435.69"/>
        <n v="250000"/>
        <n v="220561.69"/>
        <s v="new store"/>
        <n v="521239.9"/>
        <n v="259636.34"/>
        <n v="370206.34"/>
        <n v="271591.51"/>
        <n v="374372.93"/>
        <n v="375024.17"/>
        <n v="350540.66"/>
        <n v="418399.83"/>
        <n v="352433.22"/>
        <n v="243093.24"/>
        <n v="837030.654247912"/>
        <n v="191092.38"/>
        <m/>
        <n v="0"/>
      </sharedItems>
    </cacheField>
    <cacheField name="Standard  Amt " numFmtId="0">
      <sharedItems containsBlank="1" containsMixedTypes="1" containsNumber="1" count="86">
        <n v="392975.10879999999"/>
        <n v="331358.01290000102"/>
        <n v="262244.8432"/>
        <n v="572621.56339999905"/>
        <n v="425633.35779999901"/>
        <n v="470491.96379999898"/>
        <n v="246817.7395"/>
        <n v="268008.36080000002"/>
        <n v="288054.34097930999"/>
        <n v="293277.56219999999"/>
        <n v="263555.59240000002"/>
        <n v="242392.66459999999"/>
        <n v="223341.22640000001"/>
        <n v="240372.35879999999"/>
        <n v="504267.10919999902"/>
        <n v="295545.94809999998"/>
        <n v="253897.6244"/>
        <n v="187263.1876"/>
        <n v="251595.1532"/>
        <n v="291615.1373"/>
        <n v="754653.473999999"/>
        <n v="195371.77919999999"/>
        <n v="336939.98759999999"/>
        <n v="298719.87199999997"/>
        <n v="297736.47039999999"/>
        <n v="245133.0981"/>
        <n v="246370.28030000001"/>
        <n v="331935.26559999998"/>
        <n v="302658.02990000002"/>
        <n v="245362.25899999999"/>
        <n v="306037.92340000003"/>
        <n v="273589.83880000003"/>
        <n v="492247.36679999903"/>
        <n v="584186.40719999897"/>
        <n v="526169.798899999"/>
        <n v="308558.83020000003"/>
        <n v="265737.163"/>
        <n v="312418.50417931"/>
        <n v="327022.89779999998"/>
        <n v="331451.88260000001"/>
        <n v="264486.88150000002"/>
        <n v="284842.47940000001"/>
        <n v="378786.06579999998"/>
        <n v="525901.135799999"/>
        <n v="253784.350492308"/>
        <n v="610126.34399999795"/>
        <n v="223548.9804"/>
        <n v="295197.86660000001"/>
        <n v="384626.296399999"/>
        <n v="237703.6972"/>
        <n v="272444.984"/>
        <n v="321864.31020000001"/>
        <n v="457663.97479999898"/>
        <n v="261669.58217931"/>
        <n v="523074.830599999"/>
        <n v="238675.6795"/>
        <n v="271049.69420000003"/>
        <n v="346850.9166"/>
        <n v="302943.022"/>
        <n v="450636.50259999902"/>
        <n v="448571.41019999899"/>
        <n v="621521.06599999894"/>
        <n v="722735.62239999999"/>
        <n v="952022.38929999794"/>
        <n v="269690.96779999998"/>
        <n v="345074.40379999997"/>
        <n v="536317.43439999898"/>
        <n v="580196.68999999994"/>
        <n v="320539"/>
        <n v="267587.69"/>
        <s v="new store"/>
        <n v="568265.9"/>
        <n v="330175.34000000003"/>
        <n v="481380.34"/>
        <n v="382765.51"/>
        <n v="485546.93"/>
        <n v="442735.59"/>
        <n v="461714.66"/>
        <n v="574740.83929999894"/>
        <n v="317138.42200000002"/>
        <n v="429350.15130000003"/>
        <n v="317030.07160000002"/>
        <n v="1703880.4292479099"/>
        <n v="259044.3897"/>
        <m/>
        <n v="0"/>
      </sharedItems>
    </cacheField>
    <cacheField name="Turnover" numFmtId="0">
      <sharedItems containsBlank="1" containsMixedTypes="1" containsNumber="1" count="85">
        <n v="107.456562185141"/>
        <n v="90.958514176126798"/>
        <n v="80.033046241167099"/>
        <n v="54.418456666887401"/>
        <n v="74.869860215318099"/>
        <n v="67.640698633760707"/>
        <n v="96.777019696731699"/>
        <n v="80.520425939959594"/>
        <n v="84.343690534920498"/>
        <n v="105.845654417049"/>
        <n v="56.959818474940199"/>
        <n v="65.443402043463493"/>
        <n v="81.894483277674993"/>
        <n v="65.364394810166104"/>
        <n v="65.788406572600096"/>
        <n v="85.177215415208906"/>
        <n v="86.892884373167703"/>
        <n v="54.834989840873199"/>
        <n v="90.993261927761097"/>
        <n v="61.385603449618301"/>
        <n v="35.651540316762002"/>
        <n v="75.269227278602798"/>
        <n v="67.135447728938502"/>
        <n v="103.094567454938"/>
        <n v="68.8076000828556"/>
        <n v="117.58167043936101"/>
        <n v="91.436368067566704"/>
        <n v="59.677468662778999"/>
        <n v="80.065355107473707"/>
        <n v="107.628752336874"/>
        <n v="47.766873939587803"/>
        <n v="107.383372985135"/>
        <n v="84.640868250850403"/>
        <n v="39.054038028593801"/>
        <n v="64.549274233336703"/>
        <n v="77.393958227367804"/>
        <n v="61.166188117589101"/>
        <n v="69.058423141667006"/>
        <n v="60.137561657022701"/>
        <n v="86.037718810883604"/>
        <n v="99.450269200221399"/>
        <n v="73.136507213717493"/>
        <n v="74.266409989094399"/>
        <n v="50.711833671809899"/>
        <n v="73.400473038033496"/>
        <n v="38.679835597388703"/>
        <n v="65.100683117873004"/>
        <n v="64.2732204074984"/>
        <n v="64.720619083653403"/>
        <n v="100.323295490736"/>
        <n v="64.572709417077803"/>
        <n v="64.530472340360504"/>
        <n v="59.210191950907799"/>
        <n v="66.972850282540406"/>
        <n v="41.725518288470298"/>
        <n v="111.79912848464799"/>
        <n v="79.913398633751697"/>
        <n v="65.042117014775897"/>
        <n v="63.728126638103397"/>
        <n v="59.654045626457197"/>
        <n v="47.052891874130403"/>
        <n v="42.974779490643499"/>
        <n v="50.474263006438903"/>
        <n v="36.987696735086899"/>
        <n v="72.155086712704701"/>
        <n v="59.867586166937699"/>
        <n v="53.476404971741502"/>
        <n v="52.0634290391638"/>
        <n v="74.426912771658195"/>
        <n v="65.662902649598095"/>
        <s v="new store"/>
        <n v="155.17710628163101"/>
        <n v="77.295724918130404"/>
        <n v="46.619612139529004"/>
        <n v="34.201172396423601"/>
        <n v="47.144305503085299"/>
        <n v="77.539924284559405"/>
        <n v="44.143138143810603"/>
        <n v="50.205514509238"/>
        <n v="69.855678168903296"/>
        <n v="128.93742175073001"/>
        <n v="61.6800731612635"/>
        <n v="22.3053736307732"/>
        <n v="79.134371403293699"/>
        <m/>
      </sharedItems>
    </cacheField>
    <cacheField name="Standard Display PCS (Plush)" numFmtId="0">
      <sharedItems containsBlank="1" containsMixedTypes="1" containsNumber="1" containsInteger="1" count="22">
        <n v="1080"/>
        <n v="990"/>
        <n v="1260"/>
        <n v="1440"/>
        <n v="1800"/>
        <n v="1530"/>
        <n v="2070"/>
        <n v="1620"/>
        <n v="810"/>
        <n v="2250"/>
        <n v="900"/>
        <n v="630"/>
        <n v="1980"/>
        <n v="1710"/>
        <n v="1170"/>
        <n v="2340"/>
        <n v="2700"/>
        <n v="1350"/>
        <n v="2790"/>
        <n v="3240"/>
        <s v="new store"/>
        <m/>
      </sharedItems>
    </cacheField>
    <cacheField name="Standard Display PCS (Cushion)" numFmtId="0">
      <sharedItems containsBlank="1" containsMixedTypes="1" containsNumber="1" containsInteger="1" count="11">
        <n v="360"/>
        <n v="720"/>
        <n v="630"/>
        <n v="270"/>
        <n v="180"/>
        <n v="540"/>
        <n v="90"/>
        <n v="450"/>
        <n v="900"/>
        <s v="new store"/>
        <m/>
      </sharedItems>
    </cacheField>
    <cacheField name="Standard Display PCS (Blind box)" numFmtId="0">
      <sharedItems containsBlank="1" containsMixedTypes="1" containsNumber="1" containsInteger="1" count="5">
        <n v="2112"/>
        <n v="1408"/>
        <n v="3168"/>
        <s v="new store"/>
        <m/>
      </sharedItems>
    </cacheField>
    <cacheField name="Least Prepare Days" numFmtId="0">
      <sharedItems containsString="0" containsBlank="1" containsNumber="1" containsInteger="1" minValue="0" maxValue="58" count="9">
        <n v="58"/>
        <n v="51"/>
        <n v="7"/>
        <n v="4"/>
        <n v="22"/>
        <n v="28"/>
        <n v="23"/>
        <n v="15"/>
        <m/>
      </sharedItems>
    </cacheField>
    <cacheField name="Start Date" numFmtId="0">
      <sharedItems containsNonDate="0" containsDate="1" containsString="0" containsBlank="1" minDate="2023-07-25T00:00:00" maxDate="2023-09-17T00:00:00" count="7">
        <d v="2023-07-25T00:00:00"/>
        <d v="2023-09-14T00:00:00"/>
        <d v="2023-09-17T00:00:00"/>
        <d v="2023-08-30T00:00:00"/>
        <d v="2023-08-17T00:00:00"/>
        <d v="2023-08-22T00:00:00"/>
        <m/>
      </sharedItems>
    </cacheField>
    <cacheField name="End Date" numFmtId="0">
      <sharedItems containsNonDate="0" containsDate="1" containsString="0" containsBlank="1" minDate="2023-09-14T00:00:00" maxDate="2023-09-21T00:00:00" count="3">
        <d v="2023-09-21T00:00:00"/>
        <d v="2023-09-14T00:00:00"/>
        <m/>
      </sharedItems>
    </cacheField>
    <cacheField name="Total Store Stock Amt（10k）" numFmtId="0">
      <sharedItems containsString="0" containsBlank="1" containsNumber="1" minValue="0" maxValue="2320929.9700000002" count="86">
        <n v="320883.19000000297"/>
        <n v="305764.00000000303"/>
        <n v="224231.980000001"/>
        <n v="492790.080000002"/>
        <n v="406068.87000000401"/>
        <n v="424723.00000000501"/>
        <n v="211585.78000000201"/>
        <n v="255435.770000002"/>
        <n v="274910.970000003"/>
        <n v="265791.74000000203"/>
        <n v="262722.42000000202"/>
        <n v="242111.370000002"/>
        <n v="189068.980000001"/>
        <n v="182778.75000000099"/>
        <n v="469520.08000000101"/>
        <n v="293984.62000000302"/>
        <n v="228588.16000000099"/>
        <n v="152885.75000000099"/>
        <n v="229464.84000000099"/>
        <n v="292245.23000000202"/>
        <n v="721035.54999999597"/>
        <n v="179842.38000000099"/>
        <n v="341972.15000000398"/>
        <n v="295526.62000000197"/>
        <n v="308385.090000002"/>
        <n v="249561.45000000199"/>
        <n v="253692.69000000201"/>
        <n v="342885.64000000199"/>
        <n v="315268.07000000298"/>
        <n v="257385.240000002"/>
        <n v="321219.82000000199"/>
        <n v="289738.510000001"/>
        <n v="462562.840000002"/>
        <n v="564048.71999999799"/>
        <n v="508558.15000000101"/>
        <n v="321462.61000000202"/>
        <n v="282911.900000002"/>
        <n v="327631.30000000499"/>
        <n v="352334.100000003"/>
        <n v="354818.97000000201"/>
        <n v="297881.83000000298"/>
        <n v="312257.820000001"/>
        <n v="406894.80000000302"/>
        <n v="524512.00000000105"/>
        <n v="282509.98000000202"/>
        <n v="644948.98999999801"/>
        <n v="254002.87000000101"/>
        <n v="325654.66000000201"/>
        <n v="422696.900000002"/>
        <n v="274941.21000000299"/>
        <n v="303249.270000002"/>
        <n v="358311.860000004"/>
        <n v="501425.58000000298"/>
        <n v="300143.86000000301"/>
        <n v="569504.44999999797"/>
        <n v="300903.38000000198"/>
        <n v="313551.27000000101"/>
        <n v="389254.760000001"/>
        <n v="413982.729999998"/>
        <n v="517418.410000003"/>
        <n v="530315.61"/>
        <n v="709259.32999999495"/>
        <n v="940982.95999999798"/>
        <n v="1229046.03999998"/>
        <n v="333594.24000000302"/>
        <n v="423839.94000000297"/>
        <n v="528206.66000000201"/>
        <n v="409192.85000000597"/>
        <n v="518796.30000001"/>
        <n v="218354.41000000099"/>
        <n v="0"/>
        <n v="516201.66000000603"/>
        <n v="256903.220000003"/>
        <n v="366262.42000000499"/>
        <n v="268969.030000003"/>
        <n v="370804.69000000501"/>
        <n v="371361.69000000402"/>
        <n v="347015.82000000501"/>
        <n v="383287.70000000298"/>
        <n v="304999.81000000198"/>
        <n v="384972.30000000302"/>
        <n v="284421.45000000199"/>
        <n v="2320929.9700000002"/>
        <n v="266277.84000000102"/>
        <n v="55567.3999999999"/>
        <m/>
      </sharedItems>
    </cacheField>
    <cacheField name="Current Turnover" numFmtId="0">
      <sharedItems containsString="0" containsBlank="1" containsNumber="1" minValue="0" maxValue="176.42416204071299" count="86">
        <n v="110.721153713443"/>
        <n v="109.899373701095"/>
        <n v="92.4931680078451"/>
        <n v="71.048648996008495"/>
        <n v="98.274951363533901"/>
        <n v="86.463252926292199"/>
        <n v="107.08575931921099"/>
        <n v="94.623063139535304"/>
        <n v="107.35127396103501"/>
        <n v="121.42858783809901"/>
        <n v="75.480447106221902"/>
        <n v="84.105684720477001"/>
        <n v="85.208811613014305"/>
        <n v="63.968052752281501"/>
        <n v="78.722514107291104"/>
        <n v="112.718576341391"/>
        <n v="103.565976406809"/>
        <n v="60.084554590078703"/>
        <n v="108.65429853969"/>
        <n v="89.719041381953303"/>
        <n v="51.987642342243497"/>
        <n v="86.555182598986804"/>
        <n v="96.698376272149304"/>
        <n v="129.83169779585401"/>
        <n v="90.699477280548905"/>
        <n v="148.35414578097399"/>
        <n v="123.130316037114"/>
        <n v="81.025080579498095"/>
        <n v="112.71365732364499"/>
        <n v="142.421548640564"/>
        <n v="69.827131992744597"/>
        <n v="133.58899985245901"/>
        <n v="97.165373554984399"/>
        <n v="55.821110772430899"/>
        <n v="89.586832857936898"/>
        <n v="109.947336893296"/>
        <n v="85.091861013450796"/>
        <n v="101.931368679679"/>
        <n v="85.004143641411602"/>
        <n v="122.227154866755"/>
        <n v="143.70021932280599"/>
        <n v="100.741304698002"/>
        <n v="99.929659258418496"/>
        <n v="69.288328057017495"/>
        <n v="102.59203668098"/>
        <n v="60.718184550808203"/>
        <n v="95.284953453987498"/>
        <n v="91.600103591362299"/>
        <n v="102.05203384721401"/>
        <n v="137.73830924246499"/>
        <n v="92.7548120975909"/>
        <n v="92.722191056252996"/>
        <n v="85.425663531373004"/>
        <n v="109.09765583621299"/>
        <n v="65.854386047073902"/>
        <n v="176.42416204071299"/>
        <n v="114.14574566536901"/>
        <n v="94.047244464103599"/>
        <n v="125.541158249975"/>
        <n v="90.034585692946095"/>
        <n v="77.806126530739803"/>
        <n v="70.449693074814206"/>
        <n v="102.353723283167"/>
        <n v="84.078839601066093"/>
        <n v="112.457415625986"/>
        <n v="96.574857585365706"/>
        <n v="71.143967645239101"/>
        <n v="51.529133610377301"/>
        <n v="154.449627865439"/>
        <n v="65.005778505507905"/>
        <n v="0"/>
        <n v="153.67718368562299"/>
        <n v="76.482054182793405"/>
        <n v="46.122959325022698"/>
        <n v="33.870926835411503"/>
        <n v="46.694961591739698"/>
        <n v="76.782670633698999"/>
        <n v="43.699259539101497"/>
        <n v="45.992265779751001"/>
        <n v="85.223874275747093"/>
        <n v="140.84181907553699"/>
        <n v="72.166284198741096"/>
        <n v="61.848643044291997"/>
        <n v="110.26985736965"/>
        <n v="16.542840130991301"/>
        <m/>
      </sharedItems>
    </cacheField>
    <cacheField name="In Store Stock Amt" numFmtId="0">
      <sharedItems containsString="0" containsBlank="1" containsNumber="1" minValue="0" maxValue="1481286.63" count="76">
        <n v="211977.28000000099"/>
        <n v="198403.13000000099"/>
        <n v="140171.67000000001"/>
        <n v="268324.5"/>
        <n v="137601.75"/>
        <n v="119498.25"/>
        <n v="152413.850000001"/>
        <n v="217595.27000000101"/>
        <n v="131130.19"/>
        <n v="188356.230000001"/>
        <n v="174627.17"/>
        <n v="198159.28000000099"/>
        <n v="139911.28"/>
        <n v="134325.6"/>
        <n v="294371.049999999"/>
        <n v="177452.74"/>
        <n v="153154.65"/>
        <n v="109052.55"/>
        <n v="138458.15"/>
        <n v="223181.93000000101"/>
        <n v="407547.71999999799"/>
        <n v="126918.66000000099"/>
        <n v="169828.56"/>
        <n v="211299.22000000099"/>
        <n v="237045.110000001"/>
        <n v="203748.66000000099"/>
        <n v="177826.30000000101"/>
        <n v="224185.83000000101"/>
        <n v="197319.25"/>
        <n v="168085.56000000099"/>
        <n v="230545.38"/>
        <n v="244084.05000000101"/>
        <n v="355809.77"/>
        <n v="346719.02999999898"/>
        <n v="247581.570000001"/>
        <n v="255266.07"/>
        <n v="198744.450000001"/>
        <n v="129402.71"/>
        <n v="239633.94000000099"/>
        <n v="239782.110000001"/>
        <n v="185499.110000001"/>
        <n v="246770.670000001"/>
        <n v="204723.45"/>
        <n v="346288.91999999899"/>
        <n v="160246.35999999999"/>
        <n v="288275.20999999897"/>
        <n v="162265.84000000099"/>
        <n v="188537.22000000099"/>
        <n v="267265.93"/>
        <n v="231801.210000002"/>
        <n v="213720.06"/>
        <n v="193406.53"/>
        <n v="262434.73000000097"/>
        <n v="186047.79"/>
        <n v="369508.93999999901"/>
        <n v="232377.33000000101"/>
        <n v="246073.71000000101"/>
        <n v="281934.890000001"/>
        <n v="272126.21000000002"/>
        <n v="305553.32"/>
        <n v="346885.61999999901"/>
        <n v="425646.07999999798"/>
        <n v="501952.68999999901"/>
        <n v="775977.19999999495"/>
        <n v="240807.920000001"/>
        <n v="199665.700000001"/>
        <n v="330130.71999999898"/>
        <n v="0"/>
        <n v="318199.020000002"/>
        <n v="287875.67000000097"/>
        <n v="245183.94"/>
        <n v="294910.44"/>
        <n v="252789.16"/>
        <n v="1481286.63"/>
        <n v="217344.74000000101"/>
        <m/>
      </sharedItems>
    </cacheField>
    <cacheField name="In transit  Amt." numFmtId="0">
      <sharedItems containsString="0" containsBlank="1" containsNumber="1" minValue="0" maxValue="615576.04000000202" count="78">
        <n v="94903.39"/>
        <n v="58124.119999999901"/>
        <n v="59167.269999999902"/>
        <n v="66630.39"/>
        <n v="165225.230000001"/>
        <n v="239864.200000001"/>
        <n v="38138.629999999903"/>
        <n v="16623.91"/>
        <n v="107994.85"/>
        <n v="59201.289999999797"/>
        <n v="51915.099999999897"/>
        <n v="15317.36"/>
        <n v="26434.720000000001"/>
        <n v="22013.35"/>
        <n v="64284.800000000003"/>
        <n v="78813.23"/>
        <n v="55935.599999999897"/>
        <n v="21121.15"/>
        <n v="70711.889999999898"/>
        <n v="39990.589999999902"/>
        <n v="97464.84"/>
        <n v="29733.599999999999"/>
        <n v="106945.32"/>
        <n v="65089.299999999799"/>
        <n v="0"/>
        <n v="33899.129999999997"/>
        <n v="57629.929999999898"/>
        <n v="19622.95"/>
        <n v="74254.379999999903"/>
        <n v="89932.500000000102"/>
        <n v="650.97"/>
        <n v="26031.759999999998"/>
        <n v="32950.39"/>
        <n v="13838.56"/>
        <n v="146895.04000000001"/>
        <n v="40287.139999999898"/>
        <n v="52442.319999999898"/>
        <n v="125340.55"/>
        <n v="35321.300000000003"/>
        <n v="90843.769999999902"/>
        <n v="78884.319999999905"/>
        <n v="13613.19"/>
        <n v="107644.78"/>
        <n v="32779.379999999997"/>
        <n v="48911.479999999901"/>
        <n v="126765.05"/>
        <n v="33974.639999999999"/>
        <n v="59172.909999999902"/>
        <n v="125299.25"/>
        <n v="23209.51"/>
        <n v="25020.93"/>
        <n v="65887.399999999907"/>
        <n v="89511.450000000099"/>
        <n v="69375.679999999993"/>
        <n v="53401.029999999802"/>
        <n v="19575.189999999999"/>
        <n v="95543.680000000299"/>
        <n v="72079.529999999795"/>
        <n v="66970.599999999904"/>
        <n v="36872.019999999997"/>
        <n v="299491.48000000202"/>
        <n v="288609.960000002"/>
        <n v="28234.41"/>
        <n v="128098.03"/>
        <n v="940"/>
        <n v="96044.3299999999"/>
        <n v="240"/>
        <n v="20422.95"/>
        <n v="249179.200000001"/>
        <n v="460"/>
        <n v="281329.78000000201"/>
        <n v="20122.95"/>
        <n v="217109.42000000199"/>
        <n v="27530.54"/>
        <n v="93150.049999999901"/>
        <n v="615576.04000000202"/>
        <n v="15801.08"/>
        <m/>
      </sharedItems>
    </cacheField>
    <cacheField name="On Order Amt." numFmtId="0">
      <sharedItems containsString="0" containsBlank="1" containsNumber="1" minValue="0" maxValue="495778.71000000701" count="84">
        <n v="15133.15"/>
        <n v="50136.029999999802"/>
        <n v="25494.94"/>
        <n v="158749.84000000099"/>
        <n v="103899.44"/>
        <n v="65810.839999999895"/>
        <n v="21903.7"/>
        <n v="22149.11"/>
        <n v="36181.379999999997"/>
        <n v="19189.78"/>
        <n v="36484.459999999897"/>
        <n v="29369"/>
        <n v="22979.38"/>
        <n v="26918.76"/>
        <n v="111127.7"/>
        <n v="38855.129999999997"/>
        <n v="20207.8"/>
        <n v="23374.49"/>
        <n v="20720.96"/>
        <n v="29323.87"/>
        <n v="216370.39000000199"/>
        <n v="23621.84"/>
        <n v="65924.55"/>
        <n v="19583.009999999998"/>
        <n v="71616.429999999804"/>
        <n v="12620.42"/>
        <n v="18669.41"/>
        <n v="100154.31"/>
        <n v="44573.349999999897"/>
        <n v="0"/>
        <n v="90626.109999999797"/>
        <n v="20466.05"/>
        <n v="74415.379999999801"/>
        <n v="203880.02000000101"/>
        <n v="114333.12"/>
        <n v="27422.679999999898"/>
        <n v="32393.62"/>
        <n v="73127.520000000004"/>
        <n v="78607.669999999795"/>
        <n v="24654.99"/>
        <n v="33927.550000000003"/>
        <n v="52726.419999999896"/>
        <n v="94941.509999999806"/>
        <n v="146421.700000001"/>
        <n v="74952.339999999793"/>
        <n v="230431.19000000201"/>
        <n v="57976.299999999799"/>
        <n v="78299.739999999903"/>
        <n v="31134.45"/>
        <n v="20650.62"/>
        <n v="65253.63"/>
        <n v="99757.479999999807"/>
        <n v="206410.68000000101"/>
        <n v="25106.81"/>
        <n v="130766.73"/>
        <n v="15694.84"/>
        <n v="48676.359999999797"/>
        <n v="88483.190000000206"/>
        <n v="47049.99"/>
        <n v="140232.58000000101"/>
        <n v="117677.68"/>
        <n v="247503.01000000199"/>
        <n v="139880.54"/>
        <n v="165401.50000000099"/>
        <n v="65065.799999999901"/>
        <n v="96256.249999999694"/>
        <n v="199016.20000000199"/>
        <n v="408252.85000000597"/>
        <n v="105606.55"/>
        <n v="218114.41000000099"/>
        <n v="495778.71000000701"/>
        <n v="255963.220000003"/>
        <n v="117083.22"/>
        <n v="268509.030000003"/>
        <n v="89474.91"/>
        <n v="351238.74000000401"/>
        <n v="129906.4"/>
        <n v="97453.37"/>
        <n v="32746.21"/>
        <n v="32274.959999999999"/>
        <n v="225899.55"/>
        <n v="34718.86"/>
        <n v="55567.3999999999"/>
        <m/>
      </sharedItems>
    </cacheField>
    <cacheField name="total Store Stock Pcs (Plush)" numFmtId="0">
      <sharedItems containsNonDate="0" containsString="0" containsBlank="1" count="1">
        <m/>
      </sharedItems>
    </cacheField>
    <cacheField name="total  Store Stock Pcs (blind box)" numFmtId="0">
      <sharedItems containsNonDate="0" containsString="0" containsBlank="1" count="1">
        <m/>
      </sharedItems>
    </cacheField>
    <cacheField name="total Store Stock Pcs" numFmtId="0">
      <sharedItems containsNonDate="0" containsString="0" containsBlank="1" count="1">
        <m/>
      </sharedItems>
    </cacheField>
    <cacheField name="Average Day Sales Amt Forecast (July)" numFmtId="0">
      <sharedItems containsString="0" containsBlank="1" containsNumber="1" minValue="0" maxValue="92772936.893268898" count="84">
        <n v="2898.1199999999899"/>
        <n v="2782.2178571428499"/>
        <n v="2424.3085714285598"/>
        <n v="6935.95285714281"/>
        <n v="4131.9671428571201"/>
        <n v="4912.17928571426"/>
        <n v="1975.8535714285699"/>
        <n v="2699.5085714285701"/>
        <n v="2560.8542857142802"/>
        <n v="2188.8728571428501"/>
        <n v="3480.66857142856"/>
        <n v="2878.6564285714198"/>
        <n v="2218.89"/>
        <n v="2857.34428571428"/>
        <n v="5964.2414285713903"/>
        <n v="2608.1292857142798"/>
        <n v="2207.1742857142799"/>
        <n v="2544.5100000000002"/>
        <n v="2111.88"/>
        <n v="3257.3378571428502"/>
        <n v="13869.3642857142"/>
        <n v="2077.77714285714"/>
        <n v="3536.4828571428402"/>
        <n v="2276.2285714285699"/>
        <n v="3400.0757142857001"/>
        <n v="1682.2007142857101"/>
        <n v="2060.3592857142798"/>
        <n v="4231.8457142856896"/>
        <n v="2797.07071428571"/>
        <n v="1807.2071428571401"/>
        <n v="4600.2149999999801"/>
        <n v="2168.88"/>
        <n v="4760.5728571428199"/>
        <n v="10104.577142857101"/>
        <n v="5676.7064285713896"/>
        <n v="2923.7871428571302"/>
        <n v="3324.7821428571301"/>
        <n v="3214.2342857142698"/>
        <n v="4144.9049999999797"/>
        <n v="2902.9471428571301"/>
        <n v="2072.9392857142798"/>
        <n v="3099.6007142857002"/>
        <n v="4071.8121428571199"/>
        <n v="7569.99071428566"/>
        <n v="2753.7223076923001"/>
        <n v="10622.007142857099"/>
        <n v="2665.7185714285702"/>
        <n v="3555.1778571428499"/>
        <n v="4141.9742857142601"/>
        <n v="1996.1128571428601"/>
        <n v="3269.36428571427"/>
        <n v="3864.3592857142698"/>
        <n v="5869.7299999999595"/>
        <n v="2751.14857142856"/>
        <n v="8647.9349999999304"/>
        <n v="1705.56785714286"/>
        <n v="2746.9378571428501"/>
        <n v="4138.9278571428404"/>
        <n v="3297.5857142856999"/>
        <n v="5746.8849999999602"/>
        <n v="6815.8592857142403"/>
        <n v="10067.5999999999"/>
        <n v="9193.4414285713592"/>
        <n v="14617.7807142856"/>
        <n v="2966.4049999999902"/>
        <n v="4388.71928571426"/>
        <n v="7424.4757142856597"/>
        <n v="7941"/>
        <n v="3359"/>
        <n v="2241"/>
        <n v="4836.53"/>
        <n v="8333.7424999999294"/>
        <n v="3578.8071428571302"/>
        <n v="2733.3664285714199"/>
        <n v="3941.1957142857"/>
        <n v="37525.964285714399"/>
        <n v="2414.7835714285702"/>
        <n v="427525.05480769102"/>
        <n v="31"/>
        <n v="7"/>
        <n v="92772936.893268898"/>
        <m/>
        <n v="25759"/>
        <n v="2.1572033075818098"/>
      </sharedItems>
    </cacheField>
    <cacheField name="Average Day Sales Amt Forecast (Aug)" numFmtId="0">
      <sharedItems containsString="0" containsBlank="1" containsNumber="1" minValue="0" maxValue="100000000" count="85">
        <n v="3883.4807999999898"/>
        <n v="3728.1719285714198"/>
        <n v="3248.5734857142802"/>
        <n v="9294.1768285713697"/>
        <n v="5536.8359714285498"/>
        <n v="6582.3202428571103"/>
        <n v="2647.6437857142801"/>
        <n v="3617.3414857142802"/>
        <n v="3431.5447428571401"/>
        <n v="2933.0896285714198"/>
        <n v="4664.0958857142696"/>
        <n v="3857.3996142857"/>
        <n v="2973.3126000000002"/>
        <n v="3828.8413428571298"/>
        <n v="7992.0835142856604"/>
        <n v="3494.8932428571302"/>
        <n v="2957.6135428571401"/>
        <n v="3409.6433999999899"/>
        <n v="2829.9191999999998"/>
        <n v="4364.8327285714104"/>
        <n v="18584.948142857102"/>
        <n v="2784.2213714285699"/>
        <n v="4738.8870285714102"/>
        <n v="3050.1462857142801"/>
        <n v="4556.1014571428404"/>
        <n v="2254.1489571428601"/>
        <n v="2760.88144285714"/>
        <n v="5670.6732571428302"/>
        <n v="3748.0747571428501"/>
        <n v="2421.65757142857"/>
        <n v="6164.2880999999697"/>
        <n v="2906.2991999999999"/>
        <n v="6379.1676285713902"/>
        <n v="13540.133371428499"/>
        <n v="7606.7866142856601"/>
        <n v="3917.8747714285601"/>
        <n v="4455.2080714285503"/>
        <n v="4307.0739428571296"/>
        <n v="5554.1726999999701"/>
        <n v="3889.94917142856"/>
        <n v="2777.7386428571399"/>
        <n v="4153.4649571428399"/>
        <n v="5456.2282714285402"/>
        <n v="10143.787557142799"/>
        <n v="3689.9878923076799"/>
        <n v="14233.489571428499"/>
        <n v="3572.0628857142801"/>
        <n v="4763.9383285714102"/>
        <n v="5550.2455428571102"/>
        <n v="2674.7912285714301"/>
        <n v="4380.9481428571298"/>
        <n v="5178.2414428571201"/>
        <n v="7865.4381999999496"/>
        <n v="3686.5390857142802"/>
        <n v="11588.232899999901"/>
        <n v="2285.46092857143"/>
        <n v="3680.8967285714202"/>
        <n v="5546.1633285713997"/>
        <n v="4418.7648571428399"/>
        <n v="7700.8258999999498"/>
        <n v="9133.2514428570903"/>
        <n v="13490.583999999901"/>
        <n v="12319.2115142856"/>
        <n v="19587.826157142801"/>
        <n v="3974.98269999999"/>
        <n v="5880.8838428571098"/>
        <n v="9948.7974571427803"/>
        <n v="7941"/>
        <n v="3359"/>
        <n v="2241"/>
        <n v="4836.53"/>
        <n v="11167.2149499999"/>
        <n v="4795.6015714285604"/>
        <n v="3662.7110142857"/>
        <n v="5281.2022571428297"/>
        <n v="41278.560714285799"/>
        <n v="3235.8099857142802"/>
        <n v="458430.63784230599"/>
        <n v="31"/>
        <n v="7"/>
        <n v="99479448.411780402"/>
        <n v="100000000"/>
        <n v="1.07790055320816"/>
        <n v="25759"/>
        <m/>
      </sharedItems>
    </cacheField>
    <cacheField name="Average Day Sales Amt Forecast (Sept)" numFmtId="0">
      <sharedItems containsString="0" containsBlank="1" containsNumber="1" minValue="0" maxValue="90000000" count="84">
        <n v="3477.7439999999901"/>
        <n v="3338.6614285714199"/>
        <n v="2909.17028571428"/>
        <n v="8323.1434285713694"/>
        <n v="4958.3605714285504"/>
        <n v="5894.6151428571102"/>
        <n v="2371.0242857142798"/>
        <n v="3239.4102857142798"/>
        <n v="3073.0251428571401"/>
        <n v="2626.6474285714198"/>
        <n v="4176.8022857142696"/>
        <n v="3454.3877142857"/>
        <n v="2662.6680000000001"/>
        <n v="3428.8131428571301"/>
        <n v="7157.0897142856702"/>
        <n v="3129.7551428571301"/>
        <n v="2648.6091428571399"/>
        <n v="3053.4119999999998"/>
        <n v="2534.2559999999999"/>
        <n v="3908.8054285714102"/>
        <n v="16643.237142857099"/>
        <n v="2493.3325714285702"/>
        <n v="4243.7794285714099"/>
        <n v="2731.4742857142801"/>
        <n v="4080.0908571428399"/>
        <n v="2018.6408571428601"/>
        <n v="2472.43114285714"/>
        <n v="5078.2148571428297"/>
        <n v="3356.4848571428502"/>
        <n v="2168.64857142857"/>
        <n v="5520.2579999999698"/>
        <n v="2602.6559999999999"/>
        <n v="5712.6874285713902"/>
        <n v="12125.4925714285"/>
        <n v="6812.0477142856698"/>
        <n v="3508.5445714285602"/>
        <n v="3989.7385714285601"/>
        <n v="3857.0811428571301"/>
        <n v="4973.8859999999704"/>
        <n v="3483.5365714285599"/>
        <n v="2487.52714285714"/>
        <n v="3719.5208571428402"/>
        <n v="4886.1745714285398"/>
        <n v="9083.9888571428"/>
        <n v="3304.4667692307598"/>
        <n v="12746.408571428499"/>
        <n v="3198.86228571428"/>
        <n v="4266.2134285714201"/>
        <n v="4970.3691428571101"/>
        <n v="2395.3354285714299"/>
        <n v="3923.23714285713"/>
        <n v="4637.2311428571202"/>
        <n v="7043.6759999999604"/>
        <n v="3301.3782857142801"/>
        <n v="10377.521999999901"/>
        <n v="2046.6814285714299"/>
        <n v="3296.3254285714202"/>
        <n v="4966.7134285714001"/>
        <n v="3957.1028571428401"/>
        <n v="6896.2619999999597"/>
        <n v="8179.0311428570903"/>
        <n v="12081.119999999901"/>
        <n v="11032.1297142856"/>
        <n v="17541.3368571428"/>
        <n v="3559.6859999999901"/>
        <n v="5266.4631428571201"/>
        <n v="8909.3708571427906"/>
        <n v="7941"/>
        <n v="3359"/>
        <n v="2241"/>
        <n v="4836.53"/>
        <n v="10000.4909999999"/>
        <n v="4294.5685714285601"/>
        <n v="3280.03971428571"/>
        <n v="4729.43485714284"/>
        <n v="45031.157142857301"/>
        <n v="2897.7402857142802"/>
        <n v="25759"/>
        <n v="30"/>
        <n v="7"/>
        <n v="5409390"/>
        <n v="90000000"/>
        <n v="0.97011049788734105"/>
        <m/>
      </sharedItems>
    </cacheField>
    <cacheField name="Average Day Sales Amt in 14 days" numFmtId="0">
      <sharedItems containsString="0" containsBlank="1" containsNumber="1" minValue="0" maxValue="37525.964285714399" count="78">
        <n v="2898.1199999999899"/>
        <n v="2782.2178571428499"/>
        <n v="2424.3085714285598"/>
        <n v="6935.95285714281"/>
        <n v="4131.9671428571201"/>
        <n v="4912.17928571426"/>
        <n v="1975.8535714285699"/>
        <n v="2699.5085714285701"/>
        <n v="2560.8542857142802"/>
        <n v="2188.8728571428501"/>
        <n v="3480.66857142856"/>
        <n v="2878.6564285714198"/>
        <n v="2218.89"/>
        <n v="2857.34428571428"/>
        <n v="5964.2414285713903"/>
        <n v="2608.1292857142798"/>
        <n v="2207.1742857142799"/>
        <n v="2544.5100000000002"/>
        <n v="2111.88"/>
        <n v="3257.3378571428502"/>
        <n v="13869.3642857142"/>
        <n v="2077.77714285714"/>
        <n v="3536.4828571428402"/>
        <n v="2276.2285714285699"/>
        <n v="3400.0757142857001"/>
        <n v="1682.2007142857101"/>
        <n v="2060.3592857142798"/>
        <n v="4231.8457142856896"/>
        <n v="2797.07071428571"/>
        <n v="1807.2071428571401"/>
        <n v="4600.2149999999801"/>
        <n v="2168.88"/>
        <n v="4760.5728571428199"/>
        <n v="10104.577142857101"/>
        <n v="5676.7064285713896"/>
        <n v="2923.7871428571302"/>
        <n v="3324.7821428571301"/>
        <n v="3214.2342857142698"/>
        <n v="4144.9049999999797"/>
        <n v="2902.9471428571301"/>
        <n v="2072.9392857142798"/>
        <n v="3099.6007142857002"/>
        <n v="4071.8121428571199"/>
        <n v="7569.99071428566"/>
        <n v="2753.7223076923001"/>
        <n v="10622.007142857099"/>
        <n v="2665.7185714285702"/>
        <n v="3555.1778571428499"/>
        <n v="4141.9742857142601"/>
        <n v="1996.1128571428601"/>
        <n v="3269.36428571427"/>
        <n v="3864.3592857142698"/>
        <n v="5869.7299999999595"/>
        <n v="2751.14857142856"/>
        <n v="8647.9349999999304"/>
        <n v="1705.56785714286"/>
        <n v="2746.9378571428501"/>
        <n v="4138.9278571428404"/>
        <n v="3297.5857142856999"/>
        <n v="5746.8849999999602"/>
        <n v="6815.8592857142403"/>
        <n v="10067.5999999999"/>
        <n v="9193.4414285713592"/>
        <n v="14617.7807142856"/>
        <n v="2966.4049999999902"/>
        <n v="4388.71928571426"/>
        <n v="7424.4757142856597"/>
        <n v="7941"/>
        <n v="3359"/>
        <n v="2241"/>
        <n v="4836.53"/>
        <n v="8333.7424999999294"/>
        <n v="3578.8071428571302"/>
        <n v="2733.3664285714199"/>
        <n v="3941.1957142857"/>
        <n v="37525.964285714399"/>
        <n v="2414.7835714285702"/>
        <m/>
      </sharedItems>
    </cacheField>
    <cacheField name="Average Day Sales Qty in 14 days" numFmtId="0">
      <sharedItems containsString="0" containsBlank="1" containsNumber="1" minValue="0" maxValue="4482.6428571428596" count="77">
        <n v="345.142857142857"/>
        <n v="324.642857142857"/>
        <n v="269.142857142857"/>
        <n v="794"/>
        <n v="464"/>
        <n v="560.642857142857"/>
        <n v="232.5"/>
        <n v="331.28571428571399"/>
        <n v="286"/>
        <n v="244.857142857143"/>
        <n v="404.57142857142901"/>
        <n v="323.642857142857"/>
        <n v="253.857142857143"/>
        <n v="319.142857142857"/>
        <n v="708"/>
        <n v="304.92857142857099"/>
        <n v="261.142857142857"/>
        <n v="288.28571428571399"/>
        <n v="251.28571428571399"/>
        <n v="373.357142857143"/>
        <n v="1515.5"/>
        <n v="229.42857142857099"/>
        <n v="408.857142857143"/>
        <n v="270"/>
        <n v="399.57142857142901"/>
        <n v="201.357142857143"/>
        <n v="246.21428571428601"/>
        <n v="501.142857142857"/>
        <n v="328.642857142857"/>
        <n v="204.28571428571399"/>
        <n v="546.357142857143"/>
        <n v="585.57142857142901"/>
        <n v="1128.1428571428601"/>
        <n v="643.642857142857"/>
        <n v="335.57142857142901"/>
        <n v="386.07142857142901"/>
        <n v="351.57142857142901"/>
        <n v="495.21428571428601"/>
        <n v="348.142857142857"/>
        <n v="245.357142857143"/>
        <n v="361.357142857143"/>
        <n v="483.07142857142901"/>
        <n v="900.92857142857201"/>
        <n v="339.30769230769198"/>
        <n v="1138.57142857143"/>
        <n v="313.857142857143"/>
        <n v="385.78571428571399"/>
        <n v="470.42857142857099"/>
        <n v="231.57142857142901"/>
        <n v="367.142857142857"/>
        <n v="439.07142857142901"/>
        <n v="637.71428571428601"/>
        <n v="310.142857142857"/>
        <n v="981.5"/>
        <n v="207.5"/>
        <n v="334.78571428571399"/>
        <n v="471.5"/>
        <n v="348.57142857142901"/>
        <n v="654.357142857143"/>
        <n v="764.07142857142901"/>
        <n v="1143.57142857143"/>
        <n v="1124.1428571428601"/>
        <n v="1743.2857142857099"/>
        <n v="345.21428571428601"/>
        <n v="488.78571428571399"/>
        <n v="870.28571428571399"/>
        <n v="992.625"/>
        <n v="419.875"/>
        <n v="280.125"/>
        <n v="604.56624999999997"/>
        <n v="988.25"/>
        <n v="415.71428571428601"/>
        <n v="306.21428571428601"/>
        <n v="437.57142857142901"/>
        <n v="4482.6428571428596"/>
        <n v="282.357142857143"/>
        <m/>
      </sharedItems>
    </cacheField>
    <cacheField name="Week Sales QTY" numFmtId="0">
      <sharedItems containsString="0" containsBlank="1" containsNumber="1" minValue="0" maxValue="31378.5" count="77">
        <n v="2416"/>
        <n v="2272.5"/>
        <n v="1884"/>
        <n v="5558"/>
        <n v="3248"/>
        <n v="3924.5"/>
        <n v="1627.5"/>
        <n v="2319"/>
        <n v="2002"/>
        <n v="1714"/>
        <n v="2832"/>
        <n v="2265.5"/>
        <n v="1777"/>
        <n v="2234"/>
        <n v="4956"/>
        <n v="2134.5"/>
        <n v="1828"/>
        <n v="2018"/>
        <n v="1759"/>
        <n v="2613.5"/>
        <n v="10608.5"/>
        <n v="1606"/>
        <n v="2862"/>
        <n v="1890"/>
        <n v="2797"/>
        <n v="1409.5"/>
        <n v="1723.5"/>
        <n v="3508"/>
        <n v="2300.5"/>
        <n v="1430"/>
        <n v="3824.5"/>
        <n v="4099"/>
        <n v="7897"/>
        <n v="4505.5"/>
        <n v="2349"/>
        <n v="2702.5"/>
        <n v="2461"/>
        <n v="3466.5"/>
        <n v="2437"/>
        <n v="1717.5"/>
        <n v="2529.5"/>
        <n v="3381.5"/>
        <n v="6306.5"/>
        <n v="2375.1538461538498"/>
        <n v="7970"/>
        <n v="2197"/>
        <n v="2700.5"/>
        <n v="3293"/>
        <n v="1621"/>
        <n v="2570"/>
        <n v="3073.5"/>
        <n v="4464"/>
        <n v="2171"/>
        <n v="6870.5"/>
        <n v="1452.5"/>
        <n v="2343.5"/>
        <n v="3300.5"/>
        <n v="2440"/>
        <n v="4580.5"/>
        <n v="5348.5"/>
        <n v="8005"/>
        <n v="7869"/>
        <n v="12203"/>
        <n v="2416.5"/>
        <n v="3421.5"/>
        <n v="6092"/>
        <n v="6948.375"/>
        <n v="2939.125"/>
        <n v="1960.875"/>
        <n v="4231.9637499999999"/>
        <n v="6917.75"/>
        <n v="2910"/>
        <n v="2143.5"/>
        <n v="3063"/>
        <n v="31378.5"/>
        <n v="1976.5"/>
        <m/>
      </sharedItems>
    </cacheField>
    <cacheField name="Sales Qty in 7 days(Plush)" numFmtId="0">
      <sharedItems containsNonDate="0" containsString="0" containsBlank="1" count="1">
        <m/>
      </sharedItems>
    </cacheField>
    <cacheField name="Sales Qty in 7 days(Blind box)" numFmtId="0">
      <sharedItems containsNonDate="0" containsString="0" containsBlank="1" count="1">
        <m/>
      </sharedItems>
    </cacheField>
    <cacheField name="Replenish amount（10k）" numFmtId="0">
      <sharedItems containsString="0" containsBlank="1" containsNumber="1" minValue="-73974.30000001" maxValue="966546.15210506099" count="85">
        <n v="201348.070799996"/>
        <n v="149680.92932856901"/>
        <n v="146137.02548571301"/>
        <n v="389174.98082856601"/>
        <n v="203850.22237142301"/>
        <n v="264852.15994285"/>
        <n v="123355.028785712"/>
        <n v="135616.19148571201"/>
        <n v="127357.47212216401"/>
        <n v="125109.551628569"/>
        <n v="159482.04588571101"/>
        <n v="131490.45461428299"/>
        <n v="135409.25259999899"/>
        <n v="187831.36134285599"/>
        <n v="306597.15351428202"/>
        <n v="117883.894242854"/>
        <n v="123749.437542856"/>
        <n v="150356.20339999901"/>
        <n v="116320.161199999"/>
        <n v="144647.17572856901"/>
        <n v="665783.54814285703"/>
        <n v="110234.481371427"/>
        <n v="152694.97302856599"/>
        <n v="104713.046285712"/>
        <n v="144326.83145714001"/>
        <n v="70597.7999571408"/>
        <n v="84569.614442855003"/>
        <n v="181937.15325713999"/>
        <n v="112139.313757139"/>
        <n v="68578.457571426407"/>
        <n v="194495.903099997"/>
        <n v="82708.879199998904"/>
        <n v="246671.43762856699"/>
        <n v="480704.31337142602"/>
        <n v="270792.75561428198"/>
        <n v="117497.126771426"/>
        <n v="134368.83307142599"/>
        <n v="128142.05332216099"/>
        <n v="163613.56769999501"/>
        <n v="106104.355171426"/>
        <n v="59058.143642853996"/>
        <n v="113864.45995714101"/>
        <n v="157484.463271424"/>
        <n v="346429.31255713903"/>
        <n v="96789.033276920498"/>
        <n v="449328.43957142503"/>
        <n v="91049.562885712905"/>
        <n v="131588.21332856899"/>
        <n v="146661.44954285299"/>
        <n v="53745.311228568396"/>
        <n v="118213.338142854"/>
        <n v="139689.946442852"/>
        <n v="223780.688199995"/>
        <n v="84226.948465020803"/>
        <n v="347743.25789999799"/>
        <n v="13840.6259285694"/>
        <n v="82703.851728569905"/>
        <n v="146248.48832856899"/>
        <n v="36032.614857143999"/>
        <n v="195161.11089999499"/>
        <n v="228922.66644285401"/>
        <n v="371142.94400000101"/>
        <n v="191780.150114285"/>
        <n v="374929.36915715801"/>
        <n v="71305.467699996501"/>
        <n v="121272.288842853"/>
        <n v="346518.37745713699"/>
        <n v="464820.83999999397"/>
        <n v="-73974.30000001"/>
        <n v="173516.27999999901"/>
        <n v="0"/>
        <n v="176347.239999994"/>
        <n v="197555.119999997"/>
        <n v="408934.91999999498"/>
        <n v="407613.47999999701"/>
        <n v="408559.23999999498"/>
        <n v="250325.50999999599"/>
        <n v="408515.83999999502"/>
        <n v="571305.12244999304"/>
        <n v="175260.64157142601"/>
        <n v="166285.99401428201"/>
        <n v="212248.32225714001"/>
        <n v="966546.15210506099"/>
        <n v="100465.896985713"/>
        <m/>
      </sharedItems>
    </cacheField>
    <cacheField name="Replenish Quantity" numFmtId="0">
      <sharedItems containsString="0" containsBlank="1" containsNumber="1" minValue="0" maxValue="120818.269013133" count="84">
        <n v="25168.5088499995"/>
        <n v="18710.1161660711"/>
        <n v="18267.1281857141"/>
        <n v="48646.872603570802"/>
        <n v="25481.277796427901"/>
        <n v="33106.519992856302"/>
        <n v="15419.378598214"/>
        <n v="16952.023935714002"/>
        <n v="15919.684015270501"/>
        <n v="15638.693953571101"/>
        <n v="19935.255735713901"/>
        <n v="16436.3068267854"/>
        <n v="16926.156574999899"/>
        <n v="23478.920167856999"/>
        <n v="38324.644189285304"/>
        <n v="14735.486780356699"/>
        <n v="15468.679692857"/>
        <n v="18794.5254249998"/>
        <n v="14540.0201499999"/>
        <n v="18080.896966071101"/>
        <n v="83222.9435178571"/>
        <n v="13779.3101714284"/>
        <n v="19086.8716285708"/>
        <n v="13089.130785714"/>
        <n v="18040.853932142501"/>
        <n v="8824.7249946426"/>
        <n v="10571.201805356901"/>
        <n v="22742.1441571424"/>
        <n v="14017.4142196424"/>
        <n v="8572.3071964283099"/>
        <n v="24311.987887499599"/>
        <n v="10338.609899999899"/>
        <n v="30833.929703570899"/>
        <n v="60088.039171428303"/>
        <n v="33849.094451785197"/>
        <n v="14687.140846428199"/>
        <n v="16796.104133928198"/>
        <n v="16017.756665270201"/>
        <n v="20451.695962499402"/>
        <n v="13263.0443964282"/>
        <n v="7382.2679553567395"/>
        <n v="14233.0574946426"/>
        <n v="19685.557908928"/>
        <n v="43303.664069642298"/>
        <n v="12098.6291596151"/>
        <n v="56166.054946428201"/>
        <n v="11381.1953607141"/>
        <n v="16448.526666071099"/>
        <n v="18332.6811928567"/>
        <n v="6718.1639035710496"/>
        <n v="14776.667267856799"/>
        <n v="17461.2433053565"/>
        <n v="27972.586024999298"/>
        <n v="10528.3685581276"/>
        <n v="43467.907237499698"/>
        <n v="1730.0782410711699"/>
        <n v="10337.9814660712"/>
        <n v="18281.061041071101"/>
        <n v="4504.0768571429899"/>
        <n v="24395.138862499301"/>
        <n v="28615.333305356799"/>
        <n v="46392.868000000097"/>
        <n v="23972.5187642856"/>
        <n v="46866.171144644701"/>
        <n v="8913.1834624995608"/>
        <n v="15159.036105356599"/>
        <n v="43314.797182142203"/>
        <n v="58102.604999999297"/>
        <n v="0"/>
        <n v="21689.534999999902"/>
        <n v="22043.4049999993"/>
        <n v="24694.389999999599"/>
        <n v="51116.864999999401"/>
        <n v="50951.684999999597"/>
        <n v="51069.904999999402"/>
        <n v="31290.688749999499"/>
        <n v="51064.479999999399"/>
        <n v="71413.140306249101"/>
        <n v="21907.5801964282"/>
        <n v="20785.749251785299"/>
        <n v="26531.040282142501"/>
        <n v="120818.269013133"/>
        <n v="12558.237123214099"/>
        <m/>
      </sharedItems>
    </cacheField>
    <cacheField name="Replenish Quantity (Plush)" numFmtId="0">
      <sharedItems containsNonDate="0" containsString="0" containsBlank="1" count="1">
        <m/>
      </sharedItems>
    </cacheField>
    <cacheField name="Replenish Quantity (Blind box)" numFmtId="0">
      <sharedItems containsNonDate="0" containsString="0" containsBlank="1" count="1">
        <m/>
      </sharedItems>
    </cacheField>
    <cacheField name="Inventory Status" numFmtId="0">
      <sharedItems containsBlank="1" count="3">
        <s v="Out of Stock Risk"/>
        <s v="Normal"/>
        <m/>
      </sharedItems>
    </cacheField>
    <cacheField name="Week 7/31" numFmtId="0">
      <sharedItems containsString="0" containsBlank="1" containsNumber="1" minValue="0" maxValue="154839510" count="66">
        <n v="40000"/>
        <n v="30000"/>
        <n v="65059.237799999602"/>
        <n v="45000"/>
        <n v="60000"/>
        <n v="25000"/>
        <n v="32648.671199999899"/>
        <n v="27001.7972999999"/>
        <n v="35000"/>
        <n v="24464.252699999899"/>
        <n v="23000"/>
        <n v="30553.829099999901"/>
        <n v="150000"/>
        <n v="33172.209199999801"/>
        <n v="21351.023999999899"/>
        <n v="31892.710199999899"/>
        <n v="15779.0427"/>
        <n v="19326.170099999999"/>
        <n v="39694.712799999797"/>
        <n v="26236.523299999899"/>
        <n v="16951.602999999999"/>
        <n v="43150.016699999796"/>
        <n v="20344.094400000002"/>
        <n v="55000"/>
        <n v="94780.933599999393"/>
        <n v="27425.123399999899"/>
        <n v="31186.456499999898"/>
        <n v="30149.517599999901"/>
        <n v="38879.208899999801"/>
        <n v="27229.644199999901"/>
        <n v="19444.1705"/>
        <n v="29074.254699999899"/>
        <n v="38193.597899999797"/>
        <n v="71006.512899999507"/>
        <n v="25829.9152461538"/>
        <n v="99634.426999999196"/>
        <n v="25004.440199999899"/>
        <n v="33347.568299999897"/>
        <n v="38851.718799999799"/>
        <n v="18723.5386"/>
        <n v="30666.636999999901"/>
        <n v="36247.690099999898"/>
        <n v="55058.067399999702"/>
        <n v="25805.773599999899"/>
        <n v="81117.630299999393"/>
        <n v="20000"/>
        <n v="25766.277099999901"/>
        <n v="38823.1432999998"/>
        <n v="53905.781299999697"/>
        <n v="63932.760099999599"/>
        <n v="94434.087999999407"/>
        <n v="86234.480599999297"/>
        <n v="137114.78309999901"/>
        <n v="27824.878899999901"/>
        <n v="41166.186899999797"/>
        <n v="75000"/>
        <n v="70000"/>
        <n v="23513"/>
        <n v="0"/>
        <n v="33855.71"/>
        <n v="100000"/>
        <n v="288949.92500000098"/>
        <n v="22650.669899999899"/>
        <n v="300000"/>
        <m/>
        <n v="154839510"/>
      </sharedItems>
    </cacheField>
    <cacheField name="Week 8/7" numFmtId="0">
      <sharedItems containsString="0" containsBlank="1" containsNumber="1" minValue="0" maxValue="300000" count="66">
        <n v="40000"/>
        <n v="30000"/>
        <n v="65059.237799999602"/>
        <n v="45000"/>
        <n v="60000"/>
        <n v="25000"/>
        <n v="32648.671199999899"/>
        <n v="27001.7972999999"/>
        <n v="35000"/>
        <n v="24464.252699999899"/>
        <n v="23000"/>
        <n v="30553.829099999901"/>
        <n v="150000"/>
        <n v="33172.209199999801"/>
        <n v="21351.023999999899"/>
        <n v="31892.710199999899"/>
        <n v="15779.0427"/>
        <n v="19326.170099999999"/>
        <n v="39694.712799999797"/>
        <n v="26236.523299999899"/>
        <n v="16951.602999999999"/>
        <n v="43150.016699999796"/>
        <n v="20344.094400000002"/>
        <n v="55000"/>
        <n v="94780.933599999393"/>
        <n v="27425.123399999899"/>
        <n v="31186.456499999898"/>
        <n v="30149.517599999901"/>
        <n v="38879.208899999801"/>
        <n v="27229.644199999901"/>
        <n v="19444.1705"/>
        <n v="29074.254699999899"/>
        <n v="38193.597899999797"/>
        <n v="71006.512899999507"/>
        <n v="25829.9152461538"/>
        <n v="99634.426999999196"/>
        <n v="25004.440199999899"/>
        <n v="33347.568299999897"/>
        <n v="38851.718799999799"/>
        <n v="18723.5386"/>
        <n v="30666.636999999901"/>
        <n v="36247.690099999898"/>
        <n v="55058.067399999702"/>
        <n v="25805.773599999899"/>
        <n v="81117.630299999393"/>
        <n v="20000"/>
        <n v="25766.277099999901"/>
        <n v="38823.1432999998"/>
        <n v="53905.781299999697"/>
        <n v="63932.760099999599"/>
        <n v="94434.087999999407"/>
        <n v="86234.480599999297"/>
        <n v="137114.78309999901"/>
        <n v="27824.878899999901"/>
        <n v="41166.186899999797"/>
        <n v="75000"/>
        <n v="70000"/>
        <n v="23513"/>
        <n v="0"/>
        <n v="33855.71"/>
        <n v="100000"/>
        <n v="288949.92500000098"/>
        <n v="22650.669899999899"/>
        <n v="300000"/>
        <n v="15687"/>
        <m/>
      </sharedItems>
    </cacheField>
    <cacheField name="Week 8/14" numFmtId="0">
      <sharedItems containsString="0" containsBlank="1" containsNumber="1" minValue="0" maxValue="300000" count="69">
        <n v="40000"/>
        <n v="30000"/>
        <n v="65059.237799999602"/>
        <n v="45000"/>
        <n v="60000"/>
        <n v="25000"/>
        <n v="32648.671199999899"/>
        <n v="27001.7972999999"/>
        <n v="35000"/>
        <n v="24464.252699999899"/>
        <n v="23867.503799999999"/>
        <n v="23000"/>
        <n v="30553.829099999901"/>
        <n v="150000"/>
        <n v="33172.209199999801"/>
        <n v="21351.023999999899"/>
        <n v="31892.710199999899"/>
        <n v="15779.0427"/>
        <n v="19326.170099999999"/>
        <n v="39694.712799999797"/>
        <n v="26236.523299999899"/>
        <n v="16951.602999999999"/>
        <n v="43150.016699999796"/>
        <n v="20344.094400000002"/>
        <n v="55000"/>
        <n v="94780.933599999393"/>
        <n v="27425.123399999899"/>
        <n v="31186.456499999898"/>
        <n v="30149.517599999901"/>
        <n v="38879.208899999801"/>
        <n v="27229.644199999901"/>
        <n v="19444.1705"/>
        <n v="29074.254699999899"/>
        <n v="38193.597899999797"/>
        <n v="71006.512899999507"/>
        <n v="25829.9152461538"/>
        <n v="99634.426999999196"/>
        <n v="25004.440199999899"/>
        <n v="33347.568299999897"/>
        <n v="38851.718799999799"/>
        <n v="18723.5386"/>
        <n v="30666.636999999901"/>
        <n v="36247.690099999898"/>
        <n v="55058.067399999702"/>
        <n v="25805.773599999899"/>
        <n v="81117.630299999393"/>
        <n v="20000"/>
        <n v="25766.277099999901"/>
        <n v="38823.1432999998"/>
        <n v="30931.353999999901"/>
        <n v="53905.781299999697"/>
        <n v="63932.760099999599"/>
        <n v="94434.087999999407"/>
        <n v="86234.480599999297"/>
        <n v="137114.78309999901"/>
        <n v="27824.878899999901"/>
        <n v="41166.186899999797"/>
        <n v="75000"/>
        <n v="70000"/>
        <n v="23513"/>
        <n v="300000"/>
        <n v="33855.71"/>
        <n v="100000"/>
        <n v="36968.415799999799"/>
        <n v="288949.92500000098"/>
        <n v="22650.669899999899"/>
        <n v="0"/>
        <n v="15687"/>
        <m/>
      </sharedItems>
    </cacheField>
    <cacheField name="Week 8/21" numFmtId="0">
      <sharedItems containsString="0" containsBlank="1" containsNumber="1" minValue="0" maxValue="300000" count="74">
        <n v="40000"/>
        <n v="30000"/>
        <n v="65059.237799999602"/>
        <n v="38757.8517999998"/>
        <n v="60000"/>
        <n v="25000"/>
        <n v="25321.390399999898"/>
        <n v="24020.813199999899"/>
        <n v="32648.671199999899"/>
        <n v="27001.7972999999"/>
        <n v="35000"/>
        <n v="24464.252699999899"/>
        <n v="20703.2948"/>
        <n v="23867.503799999999"/>
        <n v="23000"/>
        <n v="30553.829099999901"/>
        <n v="130094.636999999"/>
        <n v="19489.549599999998"/>
        <n v="33172.209199999801"/>
        <n v="21351.023999999899"/>
        <n v="31892.710199999899"/>
        <n v="15779.0427"/>
        <n v="19326.170099999999"/>
        <n v="39694.712799999797"/>
        <n v="26236.523299999899"/>
        <n v="16951.602999999999"/>
        <n v="43150.016699999796"/>
        <n v="20344.094400000002"/>
        <n v="44654.173399999701"/>
        <n v="94780.933599999393"/>
        <n v="53247.506299999601"/>
        <n v="27425.123399999899"/>
        <n v="31186.456499999898"/>
        <n v="30149.517599999901"/>
        <n v="38879.208899999801"/>
        <n v="27229.644199999901"/>
        <n v="19444.1705"/>
        <n v="29074.254699999899"/>
        <n v="38193.597899999797"/>
        <n v="71006.512899999507"/>
        <n v="25829.9152461538"/>
        <n v="99634.426999999196"/>
        <n v="25004.440199999899"/>
        <n v="33347.568299999897"/>
        <n v="38851.718799999799"/>
        <n v="18723.5386"/>
        <n v="30666.636999999901"/>
        <n v="36247.690099999898"/>
        <n v="55058.067399999702"/>
        <n v="25805.773599999899"/>
        <n v="81117.630299999393"/>
        <n v="20000"/>
        <n v="25766.277099999901"/>
        <n v="38823.1432999998"/>
        <n v="30931.353999999901"/>
        <n v="53905.781299999697"/>
        <n v="63932.760099999599"/>
        <n v="94434.087999999407"/>
        <n v="86234.480599999297"/>
        <n v="137114.78309999901"/>
        <n v="27824.878899999901"/>
        <n v="41166.186899999797"/>
        <n v="69641.582199999495"/>
        <n v="70000"/>
        <n v="23513"/>
        <n v="15687"/>
        <n v="33855.71"/>
        <n v="100000"/>
        <n v="33569.210999999901"/>
        <n v="36968.415799999799"/>
        <n v="288949.92500000098"/>
        <n v="22650.669899999899"/>
        <n v="300000"/>
        <m/>
      </sharedItems>
    </cacheField>
    <cacheField name="Week 8/28" numFmtId="0">
      <sharedItems containsString="0" containsBlank="1" containsNumber="1" minValue="0" maxValue="283170.92650000099" count="74">
        <n v="39200"/>
        <n v="29400"/>
        <n v="63758.0530439996"/>
        <n v="37982.694763999803"/>
        <n v="58800"/>
        <n v="24500"/>
        <n v="24814.962591999902"/>
        <n v="23540.396935999899"/>
        <n v="31995.697775999899"/>
        <n v="26461.7613539999"/>
        <n v="34300"/>
        <n v="23974.967645999899"/>
        <n v="20289.228904"/>
        <n v="23390.153724"/>
        <n v="22540"/>
        <n v="29942.752517999899"/>
        <n v="127492.744259999"/>
        <n v="19099.758608"/>
        <n v="32508.765015999801"/>
        <n v="20924.0035199999"/>
        <n v="31254.8559959999"/>
        <n v="15463.461846"/>
        <n v="18939.646698"/>
        <n v="38900.818543999798"/>
        <n v="25711.792833999902"/>
        <n v="16612.570940000001"/>
        <n v="42287.0163659998"/>
        <n v="19937.212511999998"/>
        <n v="43761.089931999697"/>
        <n v="92885.314927999396"/>
        <n v="52182.556173999597"/>
        <n v="26876.6209319999"/>
        <n v="30562.727369999899"/>
        <n v="29546.5272479999"/>
        <n v="38101.624721999797"/>
        <n v="26685.051315999899"/>
        <n v="19055.287090000002"/>
        <n v="28492.7696059999"/>
        <n v="37429.725941999801"/>
        <n v="69586.382641999604"/>
        <n v="25313.3169412307"/>
        <n v="97641.738459999295"/>
        <n v="24504.3513959999"/>
        <n v="32680.6169339999"/>
        <n v="38074.684423999803"/>
        <n v="18349.067827999999"/>
        <n v="30053.304259999899"/>
        <n v="35522.736297999902"/>
        <n v="53956.9060519997"/>
        <n v="25289.658127999901"/>
        <n v="79495.277693999393"/>
        <n v="19600"/>
        <n v="25250.951557999899"/>
        <n v="38046.680433999798"/>
        <n v="30312.726919999899"/>
        <n v="52827.665673999698"/>
        <n v="62654.104897999598"/>
        <n v="92545.4062399994"/>
        <n v="84509.790987999397"/>
        <n v="134372.48743799899"/>
        <n v="27268.381321999899"/>
        <n v="40342.863161999798"/>
        <n v="68248.750555999504"/>
        <n v="68600"/>
        <n v="23042.74"/>
        <n v="15687"/>
        <n v="33178.595800000003"/>
        <n v="98000"/>
        <n v="32897.826779999901"/>
        <n v="36229.047483999799"/>
        <n v="283170.92650000099"/>
        <n v="22197.6565019999"/>
        <n v="23513"/>
        <m/>
      </sharedItems>
    </cacheField>
    <cacheField name="Week 7/312" numFmtId="0">
      <sharedItems containsString="0" containsBlank="1" containsNumber="1" minValue="0" maxValue="37500" count="65">
        <n v="5000"/>
        <n v="3750"/>
        <n v="8132.4047249999503"/>
        <n v="5625"/>
        <n v="7500"/>
        <n v="3125"/>
        <n v="4081.0838999999801"/>
        <n v="3375.2246624999898"/>
        <n v="4375"/>
        <n v="3058.0315874999901"/>
        <n v="2875"/>
        <n v="3819.2286374999899"/>
        <n v="18750"/>
        <n v="4146.5261499999797"/>
        <n v="2668.8779999999902"/>
        <n v="3986.5887749999902"/>
        <n v="1972.3803375"/>
        <n v="2415.7712624999999"/>
        <n v="4961.8390999999701"/>
        <n v="3279.5654124999901"/>
        <n v="2118.9503749999999"/>
        <n v="5393.75208749998"/>
        <n v="2543.0118000000002"/>
        <n v="6875"/>
        <n v="11847.6166999999"/>
        <n v="3428.14042499999"/>
        <n v="3898.30706249998"/>
        <n v="3768.6896999999899"/>
        <n v="4859.9011124999697"/>
        <n v="3403.7055249999898"/>
        <n v="2430.5213125"/>
        <n v="3634.2818374999902"/>
        <n v="4774.1997374999701"/>
        <n v="8875.8141124999402"/>
        <n v="3228.73940576922"/>
        <n v="12454.303374999899"/>
        <n v="3125.5550249999901"/>
        <n v="4168.4460374999899"/>
        <n v="4856.4648499999703"/>
        <n v="2340.442325"/>
        <n v="3833.3296249999898"/>
        <n v="4530.96126249998"/>
        <n v="6882.25842499996"/>
        <n v="3225.7216999999901"/>
        <n v="10139.7037874999"/>
        <n v="2500"/>
        <n v="3220.7846374999899"/>
        <n v="4852.8929124999804"/>
        <n v="6738.2226624999603"/>
        <n v="7991.5950124999499"/>
        <n v="11804.2609999999"/>
        <n v="10779.310074999899"/>
        <n v="17139.347887499898"/>
        <n v="3478.10986249999"/>
        <n v="5145.7733624999701"/>
        <n v="9375"/>
        <n v="8750"/>
        <n v="2939.125"/>
        <n v="0"/>
        <n v="4231.9637499999999"/>
        <n v="12500"/>
        <n v="36118.7406250001"/>
        <n v="2831.3337374999901"/>
        <n v="37500"/>
        <m/>
      </sharedItems>
    </cacheField>
    <cacheField name="Week 8/72" numFmtId="0">
      <sharedItems containsString="0" containsBlank="1" containsNumber="1" minValue="0" maxValue="37500" count="66">
        <n v="5000"/>
        <n v="3750"/>
        <n v="8132.4047249999503"/>
        <n v="5625"/>
        <n v="7500"/>
        <n v="3125"/>
        <n v="4081.0838999999801"/>
        <n v="3375.2246624999898"/>
        <n v="4375"/>
        <n v="3058.0315874999901"/>
        <n v="2875"/>
        <n v="3819.2286374999899"/>
        <n v="18750"/>
        <n v="4146.5261499999797"/>
        <n v="2668.8779999999902"/>
        <n v="3986.5887749999902"/>
        <n v="1972.3803375"/>
        <n v="2415.7712624999999"/>
        <n v="4961.8390999999701"/>
        <n v="3279.5654124999901"/>
        <n v="2118.9503749999999"/>
        <n v="5393.75208749998"/>
        <n v="2543.0118000000002"/>
        <n v="6875"/>
        <n v="11847.6166999999"/>
        <n v="3428.14042499999"/>
        <n v="3898.30706249998"/>
        <n v="3768.6896999999899"/>
        <n v="4859.9011124999697"/>
        <n v="3403.7055249999898"/>
        <n v="2430.5213125"/>
        <n v="3634.2818374999902"/>
        <n v="4774.1997374999701"/>
        <n v="8875.8141124999402"/>
        <n v="3228.73940576922"/>
        <n v="12454.303374999899"/>
        <n v="3125.5550249999901"/>
        <n v="4168.4460374999899"/>
        <n v="4856.4648499999703"/>
        <n v="2340.442325"/>
        <n v="3833.3296249999898"/>
        <n v="4530.96126249998"/>
        <n v="6882.25842499996"/>
        <n v="3225.7216999999901"/>
        <n v="10139.7037874999"/>
        <n v="2500"/>
        <n v="3220.7846374999899"/>
        <n v="4852.8929124999804"/>
        <n v="6738.2226624999603"/>
        <n v="7991.5950124999499"/>
        <n v="11804.2609999999"/>
        <n v="10779.310074999899"/>
        <n v="17139.347887499898"/>
        <n v="3478.10986249999"/>
        <n v="5145.7733624999701"/>
        <n v="9375"/>
        <n v="8750"/>
        <n v="2939.125"/>
        <n v="0"/>
        <n v="4231.9637499999999"/>
        <n v="12500"/>
        <n v="36118.7406250001"/>
        <n v="2831.3337374999901"/>
        <n v="37500"/>
        <n v="1960.875"/>
        <m/>
      </sharedItems>
    </cacheField>
    <cacheField name="Week 8/142" numFmtId="0">
      <sharedItems containsString="0" containsBlank="1" containsNumber="1" minValue="0" maxValue="37500" count="69">
        <n v="5000"/>
        <n v="3750"/>
        <n v="8132.4047249999503"/>
        <n v="5625"/>
        <n v="7500"/>
        <n v="3125"/>
        <n v="4081.0838999999801"/>
        <n v="3375.2246624999898"/>
        <n v="4375"/>
        <n v="3058.0315874999901"/>
        <n v="2983.4379749999998"/>
        <n v="2875"/>
        <n v="3819.2286374999899"/>
        <n v="18750"/>
        <n v="4146.5261499999797"/>
        <n v="2668.8779999999902"/>
        <n v="3986.5887749999902"/>
        <n v="1972.3803375"/>
        <n v="2415.7712624999999"/>
        <n v="4961.8390999999701"/>
        <n v="3279.5654124999901"/>
        <n v="2118.9503749999999"/>
        <n v="5393.75208749998"/>
        <n v="2543.0118000000002"/>
        <n v="6875"/>
        <n v="11847.6166999999"/>
        <n v="3428.14042499999"/>
        <n v="3898.30706249998"/>
        <n v="3768.6896999999899"/>
        <n v="4859.9011124999697"/>
        <n v="3403.7055249999898"/>
        <n v="2430.5213125"/>
        <n v="3634.2818374999902"/>
        <n v="4774.1997374999701"/>
        <n v="8875.8141124999402"/>
        <n v="3228.73940576922"/>
        <n v="12454.303374999899"/>
        <n v="3125.5550249999901"/>
        <n v="4168.4460374999899"/>
        <n v="4856.4648499999703"/>
        <n v="2340.442325"/>
        <n v="3833.3296249999898"/>
        <n v="4530.96126249998"/>
        <n v="6882.25842499996"/>
        <n v="3225.7216999999901"/>
        <n v="10139.7037874999"/>
        <n v="2500"/>
        <n v="3220.7846374999899"/>
        <n v="4852.8929124999804"/>
        <n v="3866.4192499999899"/>
        <n v="6738.2226624999603"/>
        <n v="7991.5950124999499"/>
        <n v="11804.2609999999"/>
        <n v="10779.310074999899"/>
        <n v="17139.347887499898"/>
        <n v="3478.10986249999"/>
        <n v="5145.7733624999701"/>
        <n v="9375"/>
        <n v="8750"/>
        <n v="2939.125"/>
        <n v="37500"/>
        <n v="4231.9637499999999"/>
        <n v="12500"/>
        <n v="4621.0519749999803"/>
        <n v="36118.7406250001"/>
        <n v="2831.3337374999901"/>
        <n v="0"/>
        <n v="1960.875"/>
        <m/>
      </sharedItems>
    </cacheField>
    <cacheField name="Week 8/212" numFmtId="0">
      <sharedItems containsString="0" containsBlank="1" containsNumber="1" minValue="0" maxValue="37500" count="74">
        <n v="5000"/>
        <n v="3750"/>
        <n v="8132.4047249999503"/>
        <n v="4844.7314749999796"/>
        <n v="7500"/>
        <n v="3125"/>
        <n v="3165.17379999999"/>
        <n v="3002.6016499999901"/>
        <n v="4081.0838999999801"/>
        <n v="3375.2246624999898"/>
        <n v="4375"/>
        <n v="3058.0315874999901"/>
        <n v="2587.91185"/>
        <n v="2983.4379749999998"/>
        <n v="2875"/>
        <n v="3819.2286374999899"/>
        <n v="16261.8296249999"/>
        <n v="2436.1936999999998"/>
        <n v="4146.5261499999797"/>
        <n v="2668.8779999999902"/>
        <n v="3986.5887749999902"/>
        <n v="1972.3803375"/>
        <n v="2415.7712624999999"/>
        <n v="4961.8390999999701"/>
        <n v="3279.5654124999901"/>
        <n v="2118.9503749999999"/>
        <n v="5393.75208749998"/>
        <n v="2543.0118000000002"/>
        <n v="5581.7716749999599"/>
        <n v="11847.6166999999"/>
        <n v="6655.9382874999501"/>
        <n v="3428.14042499999"/>
        <n v="3898.30706249998"/>
        <n v="3768.6896999999899"/>
        <n v="4859.9011124999697"/>
        <n v="3403.7055249999898"/>
        <n v="2430.5213125"/>
        <n v="3634.2818374999902"/>
        <n v="4774.1997374999701"/>
        <n v="8875.8141124999402"/>
        <n v="3228.73940576922"/>
        <n v="12454.303374999899"/>
        <n v="3125.5550249999901"/>
        <n v="4168.4460374999899"/>
        <n v="4856.4648499999703"/>
        <n v="2340.442325"/>
        <n v="3833.3296249999898"/>
        <n v="4530.96126249998"/>
        <n v="6882.25842499996"/>
        <n v="3225.7216999999901"/>
        <n v="10139.7037874999"/>
        <n v="2500"/>
        <n v="3220.7846374999899"/>
        <n v="4852.8929124999804"/>
        <n v="3866.4192499999899"/>
        <n v="6738.2226624999603"/>
        <n v="7991.5950124999499"/>
        <n v="11804.2609999999"/>
        <n v="10779.310074999899"/>
        <n v="17139.347887499898"/>
        <n v="3478.10986249999"/>
        <n v="5145.7733624999701"/>
        <n v="8705.1977749999405"/>
        <n v="8750"/>
        <n v="2939.125"/>
        <n v="1960.875"/>
        <n v="4231.9637499999999"/>
        <n v="12500"/>
        <n v="4196.1513749999904"/>
        <n v="4621.0519749999803"/>
        <n v="36118.7406250001"/>
        <n v="2831.3337374999901"/>
        <n v="37500"/>
        <m/>
      </sharedItems>
    </cacheField>
    <cacheField name="Week 8/282" numFmtId="0">
      <sharedItems containsString="0" containsBlank="1" containsNumber="1" minValue="0" maxValue="35396.365812500102" count="74">
        <n v="4900"/>
        <n v="3675"/>
        <n v="7969.75663049995"/>
        <n v="4747.83684549998"/>
        <n v="7350"/>
        <n v="3062.5"/>
        <n v="3101.87032399999"/>
        <n v="2942.5496169999901"/>
        <n v="3999.4622219999801"/>
        <n v="3307.7201692499898"/>
        <n v="4287.5"/>
        <n v="2996.8709557499901"/>
        <n v="2536.153613"/>
        <n v="2923.7692155"/>
        <n v="2817.5"/>
        <n v="3742.8440647499901"/>
        <n v="15936.593032499901"/>
        <n v="2387.469826"/>
        <n v="4063.5956269999801"/>
        <n v="2615.5004399999898"/>
        <n v="3906.8569994999898"/>
        <n v="1932.93273075"/>
        <n v="2367.4558372500001"/>
        <n v="4862.6023179999802"/>
        <n v="3213.97410424999"/>
        <n v="2076.5713675000002"/>
        <n v="5285.8770457499804"/>
        <n v="2492.1515639999998"/>
        <n v="5470.1362414999603"/>
        <n v="11610.664365999901"/>
        <n v="6522.8195217499497"/>
        <n v="3359.5776164999902"/>
        <n v="3820.3409212499801"/>
        <n v="3693.3159059999898"/>
        <n v="4762.70309024997"/>
        <n v="3335.6314144999901"/>
        <n v="2381.9108862500002"/>
        <n v="3561.5962007499902"/>
        <n v="4678.7157427499797"/>
        <n v="8698.2978302499396"/>
        <n v="3164.1646176538402"/>
        <n v="12205.217307499899"/>
        <n v="3063.0439244999902"/>
        <n v="4085.0771167499902"/>
        <n v="4759.3355529999699"/>
        <n v="2293.6334784999999"/>
        <n v="3756.6630324999901"/>
        <n v="4440.3420372499804"/>
        <n v="6744.6132564999598"/>
        <n v="3161.2072659999899"/>
        <n v="9936.9097117499205"/>
        <n v="2450"/>
        <n v="3156.3689447499901"/>
        <n v="4755.8350542499802"/>
        <n v="3789.0908649999901"/>
        <n v="6603.4582092499604"/>
        <n v="7831.7631122499497"/>
        <n v="11568.1757799999"/>
        <n v="10563.723873499899"/>
        <n v="16796.5609297499"/>
        <n v="3408.5476652499901"/>
        <n v="5042.8578952499802"/>
        <n v="8531.0938194999399"/>
        <n v="8575"/>
        <n v="2880.3425000000002"/>
        <n v="1960.875"/>
        <n v="4147.3244750000003"/>
        <n v="12250"/>
        <n v="4112.2283474999904"/>
        <n v="4528.6309354999803"/>
        <n v="35396.365812500102"/>
        <n v="2774.7070627499902"/>
        <n v="2939.125"/>
        <m/>
      </sharedItems>
    </cacheField>
    <cacheField name="Week 7/313" numFmtId="0">
      <sharedItems containsString="0" containsBlank="1" containsNumber="1" minValue="0" maxValue="99135.0084467946" count="66">
        <n v="833.33333333333303"/>
        <n v="625"/>
        <n v="1355.40078749999"/>
        <n v="937.5"/>
        <n v="1250"/>
        <n v="520.83333333333303"/>
        <n v="680.18064999999694"/>
        <n v="562.53744374999803"/>
        <n v="729.16666666666697"/>
        <n v="509.67193124999898"/>
        <n v="479.16666666666703"/>
        <n v="636.53810624999801"/>
        <n v="3125"/>
        <n v="691.08769166666298"/>
        <n v="444.81299999999902"/>
        <n v="664.43146249999802"/>
        <n v="328.73005625000002"/>
        <n v="402.62854375000001"/>
        <n v="826.97318333332896"/>
        <n v="546.59423541666501"/>
        <n v="353.15839583333297"/>
        <n v="898.95868124999595"/>
        <n v="423.83530000000002"/>
        <n v="1145.8333333333301"/>
        <n v="1974.6027833333201"/>
        <n v="571.35673749999796"/>
        <n v="649.71784374999697"/>
        <n v="628.11494999999798"/>
        <n v="809.98351874999503"/>
        <n v="567.28425416666505"/>
        <n v="405.08688541666601"/>
        <n v="605.71363958333097"/>
        <n v="795.69995624999603"/>
        <n v="1479.3023520833201"/>
        <n v="538.12323429487003"/>
        <n v="2075.7172291666502"/>
        <n v="520.92583749999903"/>
        <n v="694.74100624999801"/>
        <n v="809.41080833332899"/>
        <n v="390.07372083333303"/>
        <n v="638.88827083333103"/>
        <n v="755.16021041666397"/>
        <n v="1147.0430708333299"/>
        <n v="537.62028333333205"/>
        <n v="1689.95063124999"/>
        <n v="416.66666666666703"/>
        <n v="536.79743958333199"/>
        <n v="808.81548541666302"/>
        <n v="1123.03711041666"/>
        <n v="1331.9325020833301"/>
        <n v="1967.3768333333201"/>
        <n v="1796.55167916665"/>
        <n v="2856.55798124999"/>
        <n v="579.684977083332"/>
        <n v="857.628893749996"/>
        <n v="1562.5"/>
        <n v="1458.3333333333301"/>
        <n v="489.85416666666703"/>
        <n v="0"/>
        <n v="705.32729166666695"/>
        <n v="2083.3333333333298"/>
        <n v="6019.7901041666801"/>
        <n v="471.88895624999901"/>
        <n v="6250"/>
        <n v="99135.0084467946"/>
        <m/>
      </sharedItems>
    </cacheField>
    <cacheField name="Week 8/73" numFmtId="0">
      <sharedItems containsString="0" containsBlank="1" containsNumber="1" minValue="0" maxValue="94028.4876134613" count="67">
        <n v="833.33333333333303"/>
        <n v="625"/>
        <n v="1355.40078749999"/>
        <n v="937.5"/>
        <n v="1250"/>
        <n v="520.83333333333303"/>
        <n v="680.18064999999694"/>
        <n v="562.53744374999803"/>
        <n v="729.16666666666697"/>
        <n v="509.67193124999898"/>
        <n v="479.16666666666703"/>
        <n v="636.53810624999801"/>
        <n v="3125"/>
        <n v="691.08769166666298"/>
        <n v="444.81299999999902"/>
        <n v="664.43146249999802"/>
        <n v="328.73005625000002"/>
        <n v="402.62854375000001"/>
        <n v="826.97318333332896"/>
        <n v="546.59423541666501"/>
        <n v="353.15839583333297"/>
        <n v="898.95868124999595"/>
        <n v="423.83530000000002"/>
        <n v="1145.8333333333301"/>
        <n v="1974.6027833333201"/>
        <n v="571.35673749999796"/>
        <n v="649.71784374999697"/>
        <n v="628.11494999999798"/>
        <n v="809.98351874999503"/>
        <n v="567.28425416666505"/>
        <n v="405.08688541666601"/>
        <n v="605.71363958333097"/>
        <n v="795.69995624999603"/>
        <n v="1479.3023520833201"/>
        <n v="538.12323429487003"/>
        <n v="2075.7172291666502"/>
        <n v="520.92583749999903"/>
        <n v="694.74100624999801"/>
        <n v="809.41080833332899"/>
        <n v="390.07372083333303"/>
        <n v="638.88827083333103"/>
        <n v="755.16021041666397"/>
        <n v="1147.0430708333299"/>
        <n v="537.62028333333205"/>
        <n v="1689.95063124999"/>
        <n v="416.66666666666703"/>
        <n v="536.79743958333199"/>
        <n v="808.81548541666302"/>
        <n v="1123.03711041666"/>
        <n v="1331.9325020833301"/>
        <n v="1967.3768333333201"/>
        <n v="1796.55167916665"/>
        <n v="2856.55798124999"/>
        <n v="579.684977083332"/>
        <n v="857.628893749996"/>
        <n v="1562.5"/>
        <n v="1458.3333333333301"/>
        <n v="489.85416666666703"/>
        <n v="0"/>
        <n v="705.32729166666695"/>
        <n v="2083.3333333333298"/>
        <n v="6019.7901041666801"/>
        <n v="471.88895624999901"/>
        <n v="6250"/>
        <n v="326.8125"/>
        <n v="94028.4876134613"/>
        <m/>
      </sharedItems>
    </cacheField>
    <cacheField name="Week 8/143" numFmtId="0">
      <sharedItems containsString="0" containsBlank="1" containsNumber="1" minValue="0" maxValue="94315.847480127995" count="70">
        <n v="833.33333333333303"/>
        <n v="625"/>
        <n v="1355.40078749999"/>
        <n v="937.5"/>
        <n v="1250"/>
        <n v="520.83333333333303"/>
        <n v="680.18064999999694"/>
        <n v="562.53744374999803"/>
        <n v="729.16666666666697"/>
        <n v="509.67193124999898"/>
        <n v="497.23966249999899"/>
        <n v="479.16666666666703"/>
        <n v="636.53810624999801"/>
        <n v="3125"/>
        <n v="691.08769166666298"/>
        <n v="444.81299999999902"/>
        <n v="664.43146249999802"/>
        <n v="328.73005625000002"/>
        <n v="402.62854375000001"/>
        <n v="826.97318333332896"/>
        <n v="546.59423541666501"/>
        <n v="353.15839583333297"/>
        <n v="898.95868124999595"/>
        <n v="423.83530000000002"/>
        <n v="1145.8333333333301"/>
        <n v="1974.6027833333201"/>
        <n v="571.35673749999796"/>
        <n v="649.71784374999697"/>
        <n v="628.11494999999798"/>
        <n v="809.98351874999503"/>
        <n v="567.28425416666505"/>
        <n v="405.08688541666601"/>
        <n v="605.71363958333097"/>
        <n v="795.69995624999603"/>
        <n v="1479.3023520833201"/>
        <n v="538.12323429487003"/>
        <n v="2075.7172291666502"/>
        <n v="520.92583749999903"/>
        <n v="694.74100624999801"/>
        <n v="809.41080833332899"/>
        <n v="390.07372083333303"/>
        <n v="638.88827083333103"/>
        <n v="755.16021041666397"/>
        <n v="1147.0430708333299"/>
        <n v="537.62028333333205"/>
        <n v="1689.95063124999"/>
        <n v="416.66666666666703"/>
        <n v="536.79743958333199"/>
        <n v="808.81548541666302"/>
        <n v="644.40320833333101"/>
        <n v="1123.03711041666"/>
        <n v="1331.9325020833301"/>
        <n v="1967.3768333333201"/>
        <n v="1796.55167916665"/>
        <n v="2856.55798124999"/>
        <n v="579.684977083332"/>
        <n v="857.628893749996"/>
        <n v="1562.5"/>
        <n v="1458.3333333333301"/>
        <n v="489.85416666666703"/>
        <n v="6250"/>
        <n v="705.32729166666695"/>
        <n v="2083.3333333333298"/>
        <n v="770.175329166663"/>
        <n v="6019.7901041666801"/>
        <n v="471.88895624999901"/>
        <n v="0"/>
        <n v="326.8125"/>
        <n v="94315.847480127995"/>
        <m/>
      </sharedItems>
    </cacheField>
    <cacheField name="Week 8/213" numFmtId="0">
      <sharedItems containsString="0" containsBlank="1" containsNumber="1" minValue="0" maxValue="93559.597682211301" count="75">
        <n v="833.33333333333303"/>
        <n v="625"/>
        <n v="1355.40078749999"/>
        <n v="807.45524583332997"/>
        <n v="1250"/>
        <n v="520.83333333333303"/>
        <n v="527.52896666666595"/>
        <n v="500.43360833333202"/>
        <n v="680.18064999999694"/>
        <n v="562.53744374999803"/>
        <n v="729.16666666666697"/>
        <n v="509.67193124999898"/>
        <n v="431.318641666666"/>
        <n v="497.23966249999899"/>
        <n v="479.16666666666703"/>
        <n v="636.53810624999801"/>
        <n v="2710.30493749999"/>
        <n v="406.032283333333"/>
        <n v="691.08769166666298"/>
        <n v="444.81299999999902"/>
        <n v="664.43146249999802"/>
        <n v="328.73005625000002"/>
        <n v="402.62854375000001"/>
        <n v="826.97318333332896"/>
        <n v="546.59423541666501"/>
        <n v="353.15839583333297"/>
        <n v="898.95868124999595"/>
        <n v="423.83530000000002"/>
        <n v="930.29527916665995"/>
        <n v="1974.6027833333201"/>
        <n v="1109.32304791666"/>
        <n v="571.35673749999796"/>
        <n v="649.71784374999697"/>
        <n v="628.11494999999798"/>
        <n v="809.98351874999503"/>
        <n v="567.28425416666505"/>
        <n v="405.08688541666601"/>
        <n v="605.71363958333097"/>
        <n v="795.69995624999603"/>
        <n v="1479.3023520833201"/>
        <n v="538.12323429487003"/>
        <n v="2075.7172291666502"/>
        <n v="520.92583749999903"/>
        <n v="694.74100624999801"/>
        <n v="809.41080833332899"/>
        <n v="390.07372083333303"/>
        <n v="638.88827083333103"/>
        <n v="755.16021041666397"/>
        <n v="1147.0430708333299"/>
        <n v="537.62028333333205"/>
        <n v="1689.95063124999"/>
        <n v="416.66666666666703"/>
        <n v="536.79743958333199"/>
        <n v="808.81548541666302"/>
        <n v="644.40320833333101"/>
        <n v="1123.03711041666"/>
        <n v="1331.9325020833301"/>
        <n v="1967.3768333333201"/>
        <n v="1796.55167916665"/>
        <n v="2856.55798124999"/>
        <n v="579.684977083332"/>
        <n v="857.628893749996"/>
        <n v="1450.86629583332"/>
        <n v="1458.3333333333301"/>
        <n v="489.85416666666703"/>
        <n v="326.8125"/>
        <n v="705.32729166666695"/>
        <n v="2083.3333333333298"/>
        <n v="699.35856249999802"/>
        <n v="770.175329166663"/>
        <n v="6019.7901041666801"/>
        <n v="471.88895624999901"/>
        <n v="6250"/>
        <n v="93559.597682211301"/>
        <m/>
      </sharedItems>
    </cacheField>
    <cacheField name="Week 8/283" numFmtId="0">
      <sharedItems containsString="0" containsBlank="1" containsNumber="1" minValue="0" maxValue="80313.869478567096" count="75">
        <n v="816.66666666666697"/>
        <n v="612.5"/>
        <n v="1328.2927717499899"/>
        <n v="791.30614091666303"/>
        <n v="1225"/>
        <n v="510.41666666666703"/>
        <n v="516.97838733333197"/>
        <n v="490.42493616666599"/>
        <n v="666.57703699999695"/>
        <n v="551.28669487499803"/>
        <n v="714.58333333333303"/>
        <n v="499.47849262499898"/>
        <n v="422.692268833333"/>
        <n v="487.29486924999901"/>
        <n v="469.58333333333297"/>
        <n v="623.80734412499805"/>
        <n v="2656.0988387499901"/>
        <n v="397.91163766666602"/>
        <n v="677.26593783332999"/>
        <n v="435.91673999999898"/>
        <n v="651.14283324999803"/>
        <n v="322.155455125"/>
        <n v="394.57597287499999"/>
        <n v="810.43371966666302"/>
        <n v="535.66235070833204"/>
        <n v="346.09522791666598"/>
        <n v="880.97950762499602"/>
        <n v="415.35859399999998"/>
        <n v="911.68937358332698"/>
        <n v="1935.1107276666501"/>
        <n v="1087.1365869583301"/>
        <n v="559.92960274999803"/>
        <n v="636.72348687499698"/>
        <n v="615.55265099999804"/>
        <n v="793.78384837499596"/>
        <n v="555.938569083331"/>
        <n v="396.98514770833299"/>
        <n v="593.59936679166401"/>
        <n v="779.785957124996"/>
        <n v="1449.71630504166"/>
        <n v="527.36076960897299"/>
        <n v="2034.2028845833199"/>
        <n v="510.507320749999"/>
        <n v="680.84618612499798"/>
        <n v="793.22259216666203"/>
        <n v="382.27224641666601"/>
        <n v="626.11050541666498"/>
        <n v="740.05700620832999"/>
        <n v="1124.1022094166599"/>
        <n v="526.86787766666498"/>
        <n v="1656.1516186249901"/>
        <n v="408.33333333333297"/>
        <n v="526.06149079166505"/>
        <n v="792.63917570832996"/>
        <n v="631.51514416666396"/>
        <n v="1100.57636820833"/>
        <n v="1305.2938520416601"/>
        <n v="1928.02929666666"/>
        <n v="1760.6206455833201"/>
        <n v="2799.4268216249902"/>
        <n v="568.09127754166502"/>
        <n v="840.47631587499598"/>
        <n v="1421.8489699166601"/>
        <n v="1429.1666666666699"/>
        <n v="480.05708333333303"/>
        <n v="326.8125"/>
        <n v="691.22074583333301"/>
        <n v="2041.6666666666699"/>
        <n v="685.37139124999806"/>
        <n v="754.77182258333005"/>
        <n v="5899.3943020833503"/>
        <n v="462.45117712499899"/>
        <n v="489.85416666666703"/>
        <n v="80313.869478567096"/>
        <m/>
      </sharedItems>
    </cacheField>
    <cacheField name="Week 7/314" numFmtId="0">
      <sharedItems containsString="0" containsBlank="1" containsNumber="1" minValue="0" maxValue="31.25" count="65">
        <n v="4.1666666666666696"/>
        <n v="3.125"/>
        <n v="6.77700393749996"/>
        <n v="4.6875"/>
        <n v="6.25"/>
        <n v="2.6041666666666701"/>
        <n v="3.4009032499999901"/>
        <n v="2.8126872187499901"/>
        <n v="3.6458333333333299"/>
        <n v="2.5483596562499899"/>
        <n v="2.3958333333333299"/>
        <n v="3.1826905312499898"/>
        <n v="15.625"/>
        <n v="3.4554384583333202"/>
        <n v="2.2240649999999902"/>
        <n v="3.3221573124999901"/>
        <n v="1.64365028125"/>
        <n v="2.0131427187500002"/>
        <n v="4.1348659166666497"/>
        <n v="2.73297117708332"/>
        <n v="1.7657919791666601"/>
        <n v="4.4947934062499799"/>
        <n v="2.1191765"/>
        <n v="5.7291666666666696"/>
        <n v="9.8730139166666007"/>
        <n v="2.8567836874999899"/>
        <n v="3.2485892187499901"/>
        <n v="3.1405747499999901"/>
        <n v="4.0499175937499796"/>
        <n v="2.8364212708333199"/>
        <n v="2.0254344270833302"/>
        <n v="3.0285681979166501"/>
        <n v="3.97849978124998"/>
        <n v="7.3965117604166197"/>
        <n v="2.6906161714743502"/>
        <n v="10.3785861458333"/>
        <n v="2.6046291874999898"/>
        <n v="3.47370503124999"/>
        <n v="4.0470540416666401"/>
        <n v="1.9503686041666699"/>
        <n v="3.1944413541666599"/>
        <n v="3.7758010520833198"/>
        <n v="5.7352153541666304"/>
        <n v="2.6881014166666599"/>
        <n v="8.4497531562499404"/>
        <n v="2.0833333333333299"/>
        <n v="2.6839871979166601"/>
        <n v="4.0440774270833098"/>
        <n v="5.6151855520833003"/>
        <n v="6.6596625104166298"/>
        <n v="9.8368841666666107"/>
        <n v="8.9827583958332706"/>
        <n v="14.282789906249899"/>
        <n v="2.8984248854166599"/>
        <n v="4.2881444687499801"/>
        <n v="7.8125"/>
        <n v="7.2916666666666696"/>
        <n v="2.4492708333333302"/>
        <n v="0"/>
        <n v="3.5266364583333298"/>
        <n v="10.4166666666667"/>
        <n v="30.098950520833402"/>
        <n v="2.3594447812499899"/>
        <n v="31.25"/>
        <m/>
      </sharedItems>
    </cacheField>
    <cacheField name="Week 8/74" numFmtId="0">
      <sharedItems containsString="0" containsBlank="1" containsNumber="1" minValue="0" maxValue="31.25" count="66">
        <n v="4.1666666666666696"/>
        <n v="3.125"/>
        <n v="6.77700393749996"/>
        <n v="4.6875"/>
        <n v="6.25"/>
        <n v="2.6041666666666701"/>
        <n v="3.4009032499999901"/>
        <n v="2.8126872187499901"/>
        <n v="3.6458333333333299"/>
        <n v="2.5483596562499899"/>
        <n v="2.3958333333333299"/>
        <n v="3.1826905312499898"/>
        <n v="15.625"/>
        <n v="3.4554384583333202"/>
        <n v="2.2240649999999902"/>
        <n v="3.3221573124999901"/>
        <n v="1.64365028125"/>
        <n v="2.0131427187500002"/>
        <n v="4.1348659166666497"/>
        <n v="2.73297117708332"/>
        <n v="1.7657919791666601"/>
        <n v="4.4947934062499799"/>
        <n v="2.1191765"/>
        <n v="5.7291666666666696"/>
        <n v="9.8730139166666007"/>
        <n v="2.8567836874999899"/>
        <n v="3.2485892187499901"/>
        <n v="3.1405747499999901"/>
        <n v="4.0499175937499796"/>
        <n v="2.8364212708333199"/>
        <n v="2.0254344270833302"/>
        <n v="3.0285681979166501"/>
        <n v="3.97849978124998"/>
        <n v="7.3965117604166197"/>
        <n v="2.6906161714743502"/>
        <n v="10.3785861458333"/>
        <n v="2.6046291874999898"/>
        <n v="3.47370503124999"/>
        <n v="4.0470540416666401"/>
        <n v="1.9503686041666699"/>
        <n v="3.1944413541666599"/>
        <n v="3.7758010520833198"/>
        <n v="5.7352153541666304"/>
        <n v="2.6881014166666599"/>
        <n v="8.4497531562499404"/>
        <n v="2.0833333333333299"/>
        <n v="2.6839871979166601"/>
        <n v="4.0440774270833098"/>
        <n v="5.6151855520833003"/>
        <n v="6.6596625104166298"/>
        <n v="9.8368841666666107"/>
        <n v="8.9827583958332706"/>
        <n v="14.282789906249899"/>
        <n v="2.8984248854166599"/>
        <n v="4.2881444687499801"/>
        <n v="7.8125"/>
        <n v="7.2916666666666696"/>
        <n v="2.4492708333333302"/>
        <n v="0"/>
        <n v="3.5266364583333298"/>
        <n v="10.4166666666667"/>
        <n v="30.098950520833402"/>
        <n v="2.3594447812499899"/>
        <n v="31.25"/>
        <n v="1.6340625"/>
        <m/>
      </sharedItems>
    </cacheField>
    <cacheField name="Week 8/144" numFmtId="0">
      <sharedItems containsString="0" containsBlank="1" containsNumber="1" minValue="0" maxValue="31.25" count="69">
        <n v="4.1666666666666696"/>
        <n v="3.125"/>
        <n v="6.77700393749996"/>
        <n v="4.6875"/>
        <n v="6.25"/>
        <n v="2.6041666666666701"/>
        <n v="3.4009032499999901"/>
        <n v="2.8126872187499901"/>
        <n v="3.6458333333333299"/>
        <n v="2.5483596562499899"/>
        <n v="2.4861983125"/>
        <n v="2.3958333333333299"/>
        <n v="3.1826905312499898"/>
        <n v="15.625"/>
        <n v="3.4554384583333202"/>
        <n v="2.2240649999999902"/>
        <n v="3.3221573124999901"/>
        <n v="1.64365028125"/>
        <n v="2.0131427187500002"/>
        <n v="4.1348659166666497"/>
        <n v="2.73297117708332"/>
        <n v="1.7657919791666601"/>
        <n v="4.4947934062499799"/>
        <n v="2.1191765"/>
        <n v="5.7291666666666696"/>
        <n v="9.8730139166666007"/>
        <n v="2.8567836874999899"/>
        <n v="3.2485892187499901"/>
        <n v="3.1405747499999901"/>
        <n v="4.0499175937499796"/>
        <n v="2.8364212708333199"/>
        <n v="2.0254344270833302"/>
        <n v="3.0285681979166501"/>
        <n v="3.97849978124998"/>
        <n v="7.3965117604166197"/>
        <n v="2.6906161714743502"/>
        <n v="10.3785861458333"/>
        <n v="2.6046291874999898"/>
        <n v="3.47370503124999"/>
        <n v="4.0470540416666401"/>
        <n v="1.9503686041666699"/>
        <n v="3.1944413541666599"/>
        <n v="3.7758010520833198"/>
        <n v="5.7352153541666304"/>
        <n v="2.6881014166666599"/>
        <n v="8.4497531562499404"/>
        <n v="2.0833333333333299"/>
        <n v="2.6839871979166601"/>
        <n v="4.0440774270833098"/>
        <n v="3.2220160416666599"/>
        <n v="5.6151855520833003"/>
        <n v="6.6596625104166298"/>
        <n v="9.8368841666666107"/>
        <n v="8.9827583958332706"/>
        <n v="14.282789906249899"/>
        <n v="2.8984248854166599"/>
        <n v="4.2881444687499801"/>
        <n v="7.8125"/>
        <n v="7.2916666666666696"/>
        <n v="2.4492708333333302"/>
        <n v="31.25"/>
        <n v="3.5266364583333298"/>
        <n v="10.4166666666667"/>
        <n v="3.8508766458333201"/>
        <n v="30.098950520833402"/>
        <n v="2.3594447812499899"/>
        <n v="0"/>
        <n v="1.6340625"/>
        <m/>
      </sharedItems>
    </cacheField>
    <cacheField name="Week 8/214" numFmtId="0">
      <sharedItems containsString="0" containsBlank="1" containsNumber="1" minValue="0" maxValue="31.25" count="74">
        <n v="4.1666666666666696"/>
        <n v="3.125"/>
        <n v="6.77700393749996"/>
        <n v="4.0372762291666504"/>
        <n v="6.25"/>
        <n v="2.6041666666666701"/>
        <n v="2.6376448333333302"/>
        <n v="2.5021680416666601"/>
        <n v="3.4009032499999901"/>
        <n v="2.8126872187499901"/>
        <n v="3.6458333333333299"/>
        <n v="2.5483596562499899"/>
        <n v="2.1565932083333301"/>
        <n v="2.4861983125"/>
        <n v="2.3958333333333299"/>
        <n v="3.1826905312499898"/>
        <n v="13.551524687499899"/>
        <n v="2.0301614166666599"/>
        <n v="3.4554384583333202"/>
        <n v="2.2240649999999902"/>
        <n v="3.3221573124999901"/>
        <n v="1.64365028125"/>
        <n v="2.0131427187500002"/>
        <n v="4.1348659166666497"/>
        <n v="2.73297117708332"/>
        <n v="1.7657919791666601"/>
        <n v="4.4947934062499799"/>
        <n v="2.1191765"/>
        <n v="4.6514763958333001"/>
        <n v="9.8730139166666007"/>
        <n v="5.5466152395832902"/>
        <n v="2.8567836874999899"/>
        <n v="3.2485892187499901"/>
        <n v="3.1405747499999901"/>
        <n v="4.0499175937499796"/>
        <n v="2.8364212708333199"/>
        <n v="2.0254344270833302"/>
        <n v="3.0285681979166501"/>
        <n v="3.97849978124998"/>
        <n v="7.3965117604166197"/>
        <n v="2.6906161714743502"/>
        <n v="10.3785861458333"/>
        <n v="2.6046291874999898"/>
        <n v="3.47370503124999"/>
        <n v="4.0470540416666401"/>
        <n v="1.9503686041666699"/>
        <n v="3.1944413541666599"/>
        <n v="3.7758010520833198"/>
        <n v="5.7352153541666304"/>
        <n v="2.6881014166666599"/>
        <n v="8.4497531562499404"/>
        <n v="2.0833333333333299"/>
        <n v="2.6839871979166601"/>
        <n v="4.0440774270833098"/>
        <n v="3.2220160416666599"/>
        <n v="5.6151855520833003"/>
        <n v="6.6596625104166298"/>
        <n v="9.8368841666666107"/>
        <n v="8.9827583958332706"/>
        <n v="14.282789906249899"/>
        <n v="2.8984248854166599"/>
        <n v="4.2881444687499801"/>
        <n v="7.25433147916661"/>
        <n v="7.2916666666666696"/>
        <n v="2.4492708333333302"/>
        <n v="1.6340625"/>
        <n v="3.5266364583333298"/>
        <n v="10.4166666666667"/>
        <n v="3.4967928124999901"/>
        <n v="3.8508766458333201"/>
        <n v="30.098950520833402"/>
        <n v="2.3594447812499899"/>
        <n v="31.25"/>
        <m/>
      </sharedItems>
    </cacheField>
    <cacheField name="Week 8/284" numFmtId="0">
      <sharedItems containsBlank="1" containsMixedTypes="1" containsNumber="1" count="75">
        <n v="4.0833333333333304"/>
        <n v="3.0625"/>
        <n v="6.6414638587499599"/>
        <n v="3.9565307045833098"/>
        <n v="6.125"/>
        <n v="2.5520833333333299"/>
        <n v="2.5848919366666601"/>
        <n v="2.4521246808333301"/>
        <n v="3.3328851849999901"/>
        <n v="2.7564334743749899"/>
        <n v="3.5729166666666701"/>
        <n v="2.49739246312499"/>
        <n v="2.1134613441666601"/>
        <n v="2.4364743462499998"/>
        <n v="2.34791666666667"/>
        <n v="3.1190367206249898"/>
        <n v="13.280494193749901"/>
        <n v="1.98955818833333"/>
        <n v="3.3863296891666499"/>
        <n v="2.17958369999999"/>
        <n v="3.25571416624999"/>
        <n v="1.6107772756250001"/>
        <n v="1.9728798643750001"/>
        <n v="4.05216859833331"/>
        <n v="2.6783117535416601"/>
        <n v="1.7304761395833299"/>
        <n v="4.4048975381249802"/>
        <n v="2.0767929700000001"/>
        <n v="4.5584468679166399"/>
        <n v="9.6755536383332696"/>
        <n v="5.4356829347916298"/>
        <n v="2.7996480137499899"/>
        <n v="3.1836174343749901"/>
        <n v="3.07776325499999"/>
        <n v="3.9689192418749801"/>
        <n v="2.7796928454166601"/>
        <n v="1.9849257385416601"/>
        <n v="2.96799683395832"/>
        <n v="3.89892978562498"/>
        <n v="7.2485815252082899"/>
        <n v="2.6368038480448601"/>
        <n v="10.171014422916601"/>
        <n v="2.5525366037499899"/>
        <n v="3.40423093062499"/>
        <n v="3.9661129608333101"/>
        <n v="1.91136123208333"/>
        <n v="3.1305525270833199"/>
        <n v="3.7002850310416502"/>
        <n v="5.6205110470833004"/>
        <n v="2.6343393883333301"/>
        <n v="8.2807580931249394"/>
        <n v="2.0416666666666701"/>
        <n v="2.6303074539583302"/>
        <n v="3.9631958785416499"/>
        <n v="3.1575757208333202"/>
        <n v="5.5028818410416296"/>
        <n v="6.5264692602082901"/>
        <n v="9.6401464833332806"/>
        <n v="8.8031032279165995"/>
        <n v="13.9971341081249"/>
        <n v="2.84045638770833"/>
        <n v="4.2023815793749799"/>
        <n v="7.1092448495832796"/>
        <n v="7.1458333333333304"/>
        <n v="2.4002854166666698"/>
        <n v="1.6340625"/>
        <n v="3.4561037291666699"/>
        <n v="10.2083333333333"/>
        <n v="3.4268569562499902"/>
        <n v="3.7738591129166501"/>
        <n v="29.496971510416699"/>
        <n v="2.3122558856249902"/>
        <n v="2.4492708333333302"/>
        <m/>
        <s v="Co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5164.955081018503" createdVersion="5" refreshedVersion="5" minRefreshableVersion="3" recordCount="94" xr:uid="{00000000-000A-0000-FFFF-FFFF02000000}">
  <cacheSource type="worksheet">
    <worksheetSource ref="A2:BN98" sheet="明细"/>
  </cacheSource>
  <cacheFields count="64">
    <cacheField name="Contry" numFmtId="0">
      <sharedItems containsBlank="1" count="2">
        <s v="US"/>
        <m/>
      </sharedItems>
    </cacheField>
    <cacheField name="Store Code" numFmtId="0">
      <sharedItems containsBlank="1" count="92">
        <s v="USAA"/>
        <s v="US65"/>
        <s v="US19"/>
        <s v="US38"/>
        <s v="US48"/>
        <s v="US64"/>
        <s v="US94"/>
        <s v="US20"/>
        <s v="USA4"/>
        <s v="USA2"/>
        <s v="US96"/>
        <s v="US15"/>
        <s v="US13"/>
        <s v="US80"/>
        <s v="US10"/>
        <s v="US05"/>
        <s v="USB6"/>
        <s v="US74"/>
        <s v="USA5"/>
        <s v="US21"/>
        <s v="US66"/>
        <s v="US97"/>
        <s v="US43"/>
        <s v="US78"/>
        <s v="US51"/>
        <s v="US76"/>
        <s v="US16"/>
        <s v="US56"/>
        <s v="US69"/>
        <s v="US22"/>
        <s v="US83"/>
        <s v="US23"/>
        <s v="US77"/>
        <s v="US26"/>
        <s v="US47"/>
        <s v="US95"/>
        <s v="US01"/>
        <s v="US82"/>
        <s v="USA9"/>
        <s v="US11"/>
        <s v="US35"/>
        <s v="US25"/>
        <s v="USA8"/>
        <s v="US39"/>
        <s v="USA1"/>
        <s v="USA7"/>
        <s v="USB1"/>
        <s v="USB7"/>
        <s v="USF6"/>
        <s v="USB5"/>
        <s v="US72"/>
        <s v="US30"/>
        <s v="US29"/>
        <s v="US60"/>
        <s v="US81"/>
        <s v="US85"/>
        <s v="USB8"/>
        <s v="US58"/>
        <s v="US70"/>
        <s v="US71"/>
        <s v="US17"/>
        <s v="US99"/>
        <s v="US67"/>
        <s v="US86"/>
        <s v="US75"/>
        <s v="US98"/>
        <s v="US08"/>
        <s v="US53"/>
        <s v="US54"/>
        <s v="US52"/>
        <s v="US27"/>
        <s v="US28"/>
        <s v="US57"/>
        <s v="US59"/>
        <s v="US73"/>
        <s v="US09"/>
        <s v="US84"/>
        <s v="US42"/>
        <s v="US24"/>
        <s v="USC8"/>
        <s v="USD6"/>
        <s v="USD7"/>
        <s v="USA3"/>
        <s v="US03"/>
        <s v="US18"/>
        <s v="US49"/>
        <s v="US45"/>
        <s v="US34"/>
        <s v="US61"/>
        <s v="US46"/>
        <s v="US55"/>
        <m/>
      </sharedItems>
    </cacheField>
    <cacheField name="Store Name" numFmtId="0">
      <sharedItems containsBlank="1" count="92">
        <s v="Times Square"/>
        <s v="CO-NY-SOHO490"/>
        <s v="CO-SCA-Irvine"/>
        <s v="FR-NV-Shanghai Plaza"/>
        <s v="CO-NCA-Valley Fair"/>
        <s v="CO-NY-Tangram"/>
        <s v="Fashion Show"/>
        <s v="CO-SCA-Cerritos"/>
        <s v="Arrowhead Towne Center"/>
        <s v="Vintage Faire"/>
        <s v="Clackamas"/>
        <s v="CO-SCA-Torrance"/>
        <s v="CO-NCA-Stonestown"/>
        <s v="CO-WA-Southcenter"/>
        <s v="CO-SCA-Hollywood"/>
        <s v="CO-SCA-Arcadia"/>
        <s v="Annapolis"/>
        <s v="CO-NCA-Great Mall"/>
        <s v="Chandler Fashion Center"/>
        <s v="CO-SCA-National City"/>
        <s v="CO-NCA-Alderwood"/>
        <s v="Northridge Fashion Center"/>
        <s v="CO-VA-Tyson's Corner"/>
        <s v="Memorial City"/>
        <s v="CO-NCA-Arden Fair"/>
        <s v="Livermore"/>
        <s v="CO-SCA-Culver City"/>
        <s v="CO-SCA-Brea Mall"/>
        <s v="CO-NCA-Oakridge"/>
        <s v="CO-SCA-Topanga"/>
        <s v="CO-TX-Stonebriar Centre"/>
        <s v="CO-SCA-Sherman Oaks"/>
        <s v="Ontario"/>
        <s v="CO-NCA-Salinas"/>
        <s v="CO-NCA-Roseville"/>
        <s v="Galleria at Sunset"/>
        <s v="CO-SCA-Pasadena"/>
        <s v="CO-TX-Grapevine Mills"/>
        <s v="Mall of Louisiana"/>
        <s v="CO-SCA-7 Covina"/>
        <s v="FR-FL-Sand Lake"/>
        <s v="CO-NCA-Fairfield"/>
        <s v="The SoNo Collection"/>
        <s v="CO-SCA-University Center"/>
        <s v="The Oaks"/>
        <s v="Promenade Temecula"/>
        <s v="Maine Mall"/>
        <s v="Tucson Mall"/>
        <s v="Mall at Wellington Green"/>
        <s v="Deptford"/>
        <s v="First Colony"/>
        <s v="CO-NCA-SFC"/>
        <s v="CO-SCA-Chino Hills"/>
        <s v="CO-NJ-Jersey Gardens"/>
        <s v="CO-TX-Katy Mills"/>
        <s v="CO-TX-Parks at Arlington"/>
        <s v="Great Lakes Crossing"/>
        <s v="CO-MA-South Shore"/>
        <s v="Providence Place"/>
        <s v="Willowbrook"/>
        <s v="CO-SCA-Escondido"/>
        <s v="CO-WA-Outlet Collection Seattle"/>
        <s v="CO-VA-Fair Oaks"/>
        <s v="CO-FL-Pembroke Lakes Mall"/>
        <s v="Stoneridge"/>
        <s v="The Shops at Montebello"/>
        <s v="CO-SCA-Bakersfield"/>
        <s v="Natick"/>
        <s v="CO-MD-Mall in Columbia"/>
        <s v="CO-DE-Christiana"/>
        <s v="CO-NCA-Newark"/>
        <s v="CO-SCA-El Cajon"/>
        <s v="CO-PA-King of Prussia"/>
        <s v="CO-VA-Potomac Mills"/>
        <s v="CO-TX-Deerbrook"/>
        <s v="CO-SCA-Riverside"/>
        <s v="CO-TX-Hulen Mall"/>
        <s v="CO-NJ-Cherry Hill"/>
        <s v="CO-SCA-Valencia"/>
        <s v="Coral Square Mall"/>
        <s v="Sugarloaf Mills"/>
        <s v="Arizona Mills"/>
        <s v="CO-SC-Columbiana Centre"/>
        <s v="CO-SCA-Moreno Valley"/>
        <s v="CO-SCA-Palm Desert"/>
        <s v="CO-MD-Montgomery"/>
        <s v="CO-NCA-Sunvalley"/>
        <s v="CO-SCA-Mission Viejo"/>
        <s v="CO-MA-Northshore"/>
        <s v="CO-NY-Palisades Center"/>
        <s v="CO-NY-Staten Island"/>
        <m/>
      </sharedItems>
    </cacheField>
    <cacheField name="Coast" numFmtId="0">
      <sharedItems containsBlank="1" count="4">
        <s v="East"/>
        <s v="West"/>
        <s v="Middle"/>
        <m/>
      </sharedItems>
    </cacheField>
    <cacheField name="Region" numFmtId="0">
      <sharedItems containsBlank="1" count="6">
        <s v="East"/>
        <s v="West"/>
        <s v="WA"/>
        <s v="TX"/>
        <s v="FL"/>
        <m/>
      </sharedItems>
    </cacheField>
    <cacheField name="State" numFmtId="0">
      <sharedItems containsBlank="1" count="22">
        <s v="NY"/>
        <s v="CA"/>
        <s v="NV"/>
        <s v="AZ"/>
        <s v="OR"/>
        <s v="WA"/>
        <s v="MD"/>
        <s v="VA"/>
        <s v="TX"/>
        <s v="LA"/>
        <s v="FL"/>
        <s v="CT"/>
        <s v="ME"/>
        <s v="NJ"/>
        <s v="MI"/>
        <s v="MA"/>
        <s v="RI"/>
        <s v="DE"/>
        <s v="PA"/>
        <s v="GA"/>
        <s v="SC"/>
        <m/>
      </sharedItems>
    </cacheField>
    <cacheField name="Store area" numFmtId="0">
      <sharedItems containsString="0" containsBlank="1" containsNumber="1" minValue="125.419104" maxValue="523.69000000000005" count="87">
        <n v="275"/>
        <n v="443"/>
        <n v="376.62876199999903"/>
        <n v="337.15"/>
        <n v="371"/>
        <n v="313"/>
        <n v="266.82"/>
        <n v="292.64445000000001"/>
        <n v="362.13589400000001"/>
        <n v="432.93"/>
        <n v="319.12180499999999"/>
        <n v="428.18992700000001"/>
        <n v="390.09969699999903"/>
        <n v="337"/>
        <n v="441.93976129999902"/>
        <n v="303.7929408"/>
        <n v="335.47273300000001"/>
        <n v="357"/>
        <n v="410.90996899999999"/>
        <n v="303.421198"/>
        <n v="411"/>
        <n v="417.41"/>
        <n v="280.75"/>
        <n v="279"/>
        <n v="198"/>
        <n v="309"/>
        <n v="323.20953700000001"/>
        <n v="270"/>
        <n v="495"/>
        <n v="377.093277"/>
        <n v="435.15765199999998"/>
        <n v="399.48289999999901"/>
        <n v="386"/>
        <n v="399"/>
        <n v="378"/>
        <n v="325.35000000000002"/>
        <n v="325.16000000000003"/>
        <n v="327.57597800000002"/>
        <n v="275.92202880000002"/>
        <n v="367"/>
        <n v="324"/>
        <n v="417.32"/>
        <n v="252"/>
        <n v="523.69000000000005"/>
        <n v="204.48"/>
        <n v="195.00339700000001"/>
        <n v="349"/>
        <n v="325"/>
        <n v="329"/>
        <n v="325.60000000000002"/>
        <n v="311"/>
        <n v="348"/>
        <n v="287"/>
        <n v="336.68047200000001"/>
        <n v="311.87537099999997"/>
        <n v="278"/>
        <n v="389"/>
        <n v="460.055656"/>
        <n v="333"/>
        <n v="280.10254500000002"/>
        <n v="390"/>
        <n v="511.25"/>
        <n v="207.266682199999"/>
        <n v="190"/>
        <n v="209"/>
        <n v="382"/>
        <n v="320"/>
        <n v="398"/>
        <n v="259"/>
        <n v="338.07401700000003"/>
        <n v="125.419104"/>
        <n v="321.81599199999999"/>
        <n v="281.2"/>
        <n v="288.83542699999902"/>
        <n v="376.53585900000002"/>
        <n v="301"/>
        <n v="375.23521699999998"/>
        <n v="373"/>
        <n v="353.03155199999901"/>
        <n v="299.519272"/>
        <n v="488"/>
        <n v="331"/>
        <n v="345"/>
        <n v="236"/>
        <n v="197"/>
        <n v="423"/>
        <m/>
      </sharedItems>
    </cacheField>
    <cacheField name="Store Rank" numFmtId="0">
      <sharedItems containsBlank="1" count="4">
        <s v="A"/>
        <s v="B"/>
        <s v="C"/>
        <m/>
      </sharedItems>
    </cacheField>
    <cacheField name="PIC" numFmtId="0">
      <sharedItems containsBlank="1" count="8">
        <s v="John"/>
        <s v="Irene"/>
        <s v="Mia"/>
        <s v="Yueqi"/>
        <s v="Shuhan"/>
        <s v="Eric"/>
        <s v="-"/>
        <m/>
      </sharedItems>
    </cacheField>
    <cacheField name="Store Safety Stock（10k） " numFmtId="0">
      <sharedItems containsString="0" containsBlank="1" containsNumber="1" minValue="139528.18" maxValue="837030.654247912" count="88">
        <n v="837030.654247912"/>
        <n v="540678.04"/>
        <n v="494464.2"/>
        <n v="410857.49"/>
        <n v="432652.89"/>
        <n v="464032.180600002"/>
        <n v="350540.66"/>
        <n v="360839.57"/>
        <n v="374372.93"/>
        <n v="521239.9"/>
        <n v="220561.69"/>
        <n v="397034.27"/>
        <n v="383888.11"/>
        <n v="377443.85"/>
        <n v="394624.54"/>
        <n v="347547.84"/>
        <n v="413435.69"/>
        <n v="342824.94"/>
        <n v="271591.51"/>
        <n v="320705.89"/>
        <n v="366427.28"/>
        <n v="418399.83"/>
        <n v="332263.23869999999"/>
        <n v="309359.80239999999"/>
        <n v="262742.03000000003"/>
        <n v="249368.93"/>
        <n v="249264.48"/>
        <n v="219737.89"/>
        <n v="269204.63"/>
        <n v="302398.87"/>
        <n v="268071.14"/>
        <n v="402939.02"/>
        <n v="392377.94"/>
        <n v="252545.84"/>
        <n v="228502.73"/>
        <n v="375024.17"/>
        <n v="202124.52"/>
        <n v="221969.95137930999"/>
        <n v="370206.34"/>
        <n v="198258.25"/>
        <n v="210148.96"/>
        <n v="233951.05"/>
        <n v="250000"/>
        <n v="211111.71"/>
        <n v="243093.24"/>
        <n v="194507.45"/>
        <n v="352433.22"/>
        <n v="306212.06000000401"/>
        <n v="237423.35999999999"/>
        <n v="203364.25"/>
        <n v="214041.21"/>
        <n v="249762.95"/>
        <n v="199953.65"/>
        <n v="215991.90137931"/>
        <n v="259636.34"/>
        <n v="223948.46"/>
        <n v="311422.01199999999"/>
        <n v="226283.46"/>
        <n v="188389.07"/>
        <n v="191092.38"/>
        <n v="253066.40240000101"/>
        <n v="184252.26137930999"/>
        <n v="226693.97"/>
        <n v="343576.96"/>
        <n v="173540.1"/>
        <n v="222153.19"/>
        <n v="192166.85"/>
        <n v="234666.8"/>
        <n v="219517.14"/>
        <n v="232901.65"/>
        <n v="191217.22"/>
        <n v="206154.37"/>
        <n v="194024.8"/>
        <n v="139528.18"/>
        <n v="231682.68"/>
        <n v="188391.77"/>
        <n v="186768.58"/>
        <n v="374719.41"/>
        <n v="321600.13"/>
        <n v="664689.16"/>
        <n v="217365.58"/>
        <n v="181714.85"/>
        <n v="191787.74"/>
        <n v="156392.68"/>
        <n v="200256.62"/>
        <n v="197795.97"/>
        <n v="190681"/>
        <m/>
      </sharedItems>
    </cacheField>
    <cacheField name="Standard  Amt " numFmtId="0">
      <sharedItems containsString="0" containsBlank="1" containsNumber="1" minValue="172203.66000000099" maxValue="1496511.09924784" count="91">
        <n v="1496511.09924784"/>
        <n v="872976.63999999501"/>
        <n v="692989.64"/>
        <n v="600895.92000000097"/>
        <n v="601951.82000000298"/>
        <n v="678620.33560001396"/>
        <n v="555450.02000000898"/>
        <n v="496377.61000000697"/>
        <n v="575432.13500000897"/>
        <n v="721528.19500000798"/>
        <n v="419097.130000006"/>
        <n v="528110.72000000905"/>
        <n v="509371.460000008"/>
        <n v="556016.24000001198"/>
        <n v="512125.52000000799"/>
        <n v="462761.05000000697"/>
        <n v="571858.64"/>
        <n v="445747.34000000602"/>
        <n v="423336.08500000503"/>
        <n v="412618.56000000401"/>
        <n v="499342.85000000597"/>
        <n v="543963.46500000404"/>
        <n v="449968.58370000299"/>
        <n v="421964.05240000202"/>
        <n v="336091.18000000098"/>
        <n v="318152.73"/>
        <n v="317001.52"/>
        <n v="286250.48"/>
        <n v="333473.24"/>
        <n v="363722.58"/>
        <n v="357515.79499999899"/>
        <n v="462539.429999999"/>
        <n v="449975.53"/>
        <n v="309447.36"/>
        <n v="285009.87"/>
        <n v="458158.52"/>
        <n v="256213.4"/>
        <n v="302085.64137930999"/>
        <n v="449802.76"/>
        <n v="250590.03"/>
        <n v="288322.39"/>
        <n v="283558.28999999998"/>
        <n v="324097.70500000002"/>
        <n v="259042.52"/>
        <n v="321839.60499999998"/>
        <n v="314499.12"/>
        <n v="265046.45"/>
        <n v="422972.22"/>
        <n v="376751.06000000401"/>
        <n v="307887.33"/>
        <n v="249394.28"/>
        <n v="259796.32"/>
        <n v="317986.52"/>
        <n v="268166.495"/>
        <n v="283973.43137931102"/>
        <n v="326648.39"/>
        <n v="289647.71000000101"/>
        <n v="376685.96200000099"/>
        <n v="290355.97500000102"/>
        <n v="231081.21000000101"/>
        <n v="254808.12000000101"/>
        <n v="316010.33240000199"/>
        <n v="247117.17137931101"/>
        <n v="267905.53999999998"/>
        <n v="402261.16000000102"/>
        <n v="211567.77000000101"/>
        <n v="277322.51500000199"/>
        <n v="247202.87000000101"/>
        <n v="289505.60000000201"/>
        <n v="254637.28000000099"/>
        <n v="267926.13000000099"/>
        <n v="243088.28500000201"/>
        <n v="257977.66000000201"/>
        <n v="244708.675000002"/>
        <n v="172203.66000000099"/>
        <n v="280619.01000000199"/>
        <n v="236163.98000000199"/>
        <n v="218151.28000000099"/>
        <n v="421780.41"/>
        <n v="368661.13"/>
        <n v="711750.16"/>
        <n v="398700.135000001"/>
        <n v="248170.12000000101"/>
        <n v="212491.02000000101"/>
        <n v="237253.74500000101"/>
        <n v="185339.05000000101"/>
        <n v="227930.760000001"/>
        <n v="238694.355000001"/>
        <n v="234221.67500000101"/>
        <n v="228961.105000001"/>
        <m/>
      </sharedItems>
    </cacheField>
    <cacheField name="Turnover" numFmtId="0">
      <sharedItems containsString="0" containsBlank="1" containsNumber="1" minValue="23.3298170341772" maxValue="296.60381972333801" count="91">
        <n v="26.653775517495401"/>
        <n v="34.168783256986799"/>
        <n v="34.869580442687798"/>
        <n v="30.267587771589"/>
        <n v="35.777783474472599"/>
        <n v="45.4110609814391"/>
        <n v="35.924927294681297"/>
        <n v="37.271853569667499"/>
        <n v="39.102072098612197"/>
        <n v="54.651410857532099"/>
        <n v="23.3298170341772"/>
        <n v="42.4063955043001"/>
        <n v="42.829853841164201"/>
        <n v="44.3871577795395"/>
        <n v="47.018701971673998"/>
        <n v="42.231873931814803"/>
        <n v="54.803609514909297"/>
        <n v="46.632697644047603"/>
        <n v="37.585671250519702"/>
        <n v="48.849440017353501"/>
        <n v="57.893690558597903"/>
        <n v="69.975645655684502"/>
        <n v="59.279619058079597"/>
        <n v="57.693700285734401"/>
        <n v="50.149025857831298"/>
        <n v="50.7556287963153"/>
        <n v="51.518382261758298"/>
        <n v="46.251851867443598"/>
        <n v="58.642388873822199"/>
        <n v="69.036661023933902"/>
        <n v="62.938293406129702"/>
        <n v="94.649454257111103"/>
        <n v="95.373628653560502"/>
        <n v="62.136156643970402"/>
        <n v="56.612991207836899"/>
        <n v="94.732292608290194"/>
        <n v="52.316544176917901"/>
        <n v="58.182972386127098"/>
        <n v="97.671894539980798"/>
        <n v="53.038813126555198"/>
        <n v="56.453044979605103"/>
        <n v="66.024933054126606"/>
        <n v="70.852396845489196"/>
        <n v="61.663133587769401"/>
        <n v="73.079466402967796"/>
        <n v="71.492124178008893"/>
        <n v="57.906356058350703"/>
        <n v="104.922066091099"/>
        <n v="91.161673117000404"/>
        <n v="70.758013776401896"/>
        <n v="61.8530880818452"/>
        <n v="65.491634486289598"/>
        <n v="76.879910418056099"/>
        <n v="61.557711747691798"/>
        <n v="66.721504046253003"/>
        <n v="81.363920966452994"/>
        <n v="71.582516695395199"/>
        <n v="100.206350550341"/>
        <n v="74.165227633095796"/>
        <n v="61.778280029999998"/>
        <n v="62.981925345290598"/>
        <n v="84.430610710198096"/>
        <n v="61.549399958823798"/>
        <n v="77.010305115771402"/>
        <n v="122.948189802364"/>
        <n v="63.889304814098502"/>
        <n v="84.561792082826202"/>
        <n v="73.324776210196603"/>
        <n v="89.863432460226093"/>
        <n v="87.506483744082104"/>
        <n v="93.0955463150312"/>
        <n v="77.414289064623205"/>
        <n v="83.538535859067807"/>
        <n v="80.390869877251106"/>
        <n v="59.781662580012302"/>
        <n v="99.421764566321002"/>
        <n v="82.814405488041402"/>
        <n v="83.318520076345095"/>
        <n v="167.210803212851"/>
        <n v="143.50742079428801"/>
        <n v="296.60381972333801"/>
        <n v="159.96522828461201"/>
        <n v="98.787974759560399"/>
        <n v="82.661614489389194"/>
        <n v="88.583603067827994"/>
        <n v="75.639795939868904"/>
        <n v="101.307310001319"/>
        <n v="101.561843334397"/>
        <n v="102.85121892722"/>
        <n v="104.605277336618"/>
        <m/>
      </sharedItems>
    </cacheField>
    <cacheField name="Standard Display PCS (Plush)" numFmtId="0">
      <sharedItems containsBlank="1" containsMixedTypes="1" containsNumber="1" containsInteger="1" count="29">
        <n v="1980"/>
        <n v="1800"/>
        <n v="1300"/>
        <n v="2790"/>
        <n v="2300"/>
        <n v="3000"/>
        <n v="3240"/>
        <n v="1440"/>
        <n v="1620"/>
        <n v="2500"/>
        <n v="1260"/>
        <n v="1600"/>
        <n v="2340"/>
        <n v="1530"/>
        <n v="990"/>
        <n v="1080"/>
        <n v="1710"/>
        <n v="2250"/>
        <n v="1170"/>
        <n v="900"/>
        <n v="1350"/>
        <n v="2200"/>
        <s v="new store"/>
        <n v="3200"/>
        <n v="630"/>
        <n v="810"/>
        <n v="2070"/>
        <n v="2700"/>
        <m/>
      </sharedItems>
    </cacheField>
    <cacheField name="Standard Display PCS (Cushion)" numFmtId="0">
      <sharedItems containsBlank="1" containsMixedTypes="1" containsNumber="1" containsInteger="1" count="15">
        <n v="720"/>
        <n v="450"/>
        <n v="900"/>
        <n v="400"/>
        <n v="360"/>
        <n v="500"/>
        <n v="270"/>
        <n v="630"/>
        <n v="600"/>
        <n v="300"/>
        <n v="180"/>
        <n v="540"/>
        <s v="new store"/>
        <n v="90"/>
        <m/>
      </sharedItems>
    </cacheField>
    <cacheField name="Standard Display PCS (Blind box)" numFmtId="0">
      <sharedItems containsBlank="1" containsMixedTypes="1" containsNumber="1" containsInteger="1" count="12">
        <n v="3168"/>
        <n v="2600"/>
        <n v="3000"/>
        <n v="3200"/>
        <n v="2300"/>
        <n v="2500"/>
        <n v="2112"/>
        <n v="2800"/>
        <n v="1408"/>
        <s v="new store"/>
        <n v="2400"/>
        <m/>
      </sharedItems>
    </cacheField>
    <cacheField name="Least Prepare Days" numFmtId="0">
      <sharedItems containsString="0" containsBlank="1" containsNumber="1" containsInteger="1" minValue="15" maxValue="57" count="11">
        <n v="57"/>
        <n v="50"/>
        <n v="27"/>
        <n v="15"/>
        <n v="19"/>
        <n v="26"/>
        <n v="55"/>
        <n v="46"/>
        <n v="47"/>
        <n v="48"/>
        <m/>
      </sharedItems>
    </cacheField>
    <cacheField name="Start Date" numFmtId="0">
      <sharedItems containsNonDate="0" containsDate="1" containsString="0" containsBlank="1" minDate="2023-08-23T00:00:00" maxDate="2023-09-30T00:00:00" count="9">
        <d v="2023-08-23T00:00:00"/>
        <d v="2023-09-22T00:00:00"/>
        <d v="2023-09-27T00:00:00"/>
        <d v="2023-09-30T00:00:00"/>
        <d v="2023-09-23T00:00:00"/>
        <d v="2023-08-25T00:00:00"/>
        <d v="2023-09-03T00:00:00"/>
        <d v="2023-09-02T00:00:00"/>
        <m/>
      </sharedItems>
    </cacheField>
    <cacheField name="End Date" numFmtId="0">
      <sharedItems containsNonDate="0" containsDate="1" containsString="0" containsBlank="1" minDate="2023-10-12T00:00:00" maxDate="2023-10-19T00:00:00" count="3">
        <d v="2023-10-19T00:00:00"/>
        <d v="2023-10-12T00:00:00"/>
        <m/>
      </sharedItems>
    </cacheField>
    <cacheField name="Total Store Stock Amt（10k）" numFmtId="0">
      <sharedItems containsString="0" containsBlank="1" containsNumber="1" minValue="0" maxValue="2243509.1099999901" count="89">
        <n v="2243509.1099999901"/>
        <n v="1191382.5999999801"/>
        <n v="913192.56999999203"/>
        <n v="738035.56999999599"/>
        <n v="806679.44999999204"/>
        <n v="853293.03999999701"/>
        <n v="441645.15000000398"/>
        <n v="565938.03999999806"/>
        <n v="549749.35000000696"/>
        <n v="503107.52000000502"/>
        <n v="362445.47000000399"/>
        <n v="594722.220000003"/>
        <n v="592917.700000001"/>
        <n v="571128.25"/>
        <n v="719580.82999999798"/>
        <n v="492954.94000000099"/>
        <n v="691300.42000000598"/>
        <n v="496598.52000000101"/>
        <n v="453451.22000000702"/>
        <n v="530533.41999999702"/>
        <n v="523487.04000000202"/>
        <n v="489806.56000000599"/>
        <n v="488994.050000004"/>
        <n v="391468.26000000199"/>
        <n v="391303.29000000202"/>
        <n v="342046.830000002"/>
        <n v="340467.36"/>
        <n v="316286.67000000097"/>
        <n v="416164.64"/>
        <n v="396441.00999999902"/>
        <n v="475470.24000000098"/>
        <n v="503716.25999999902"/>
        <n v="513065.180000005"/>
        <n v="363682.26999999903"/>
        <n v="321598.25000000198"/>
        <n v="358397.62000000302"/>
        <n v="265324.53000000102"/>
        <n v="359932.360000004"/>
        <n v="481880.77000000601"/>
        <n v="292097.04000000103"/>
        <n v="466699.95000000199"/>
        <n v="307824.29000000103"/>
        <n v="494148.38000000699"/>
        <n v="321503.11000000098"/>
        <n v="368405.31000000302"/>
        <n v="328949.25000000303"/>
        <n v="0"/>
        <n v="370999.17000000202"/>
        <n v="309181.13000000198"/>
        <n v="332242.15000000002"/>
        <n v="378750.06000000401"/>
        <n v="343587.43000000302"/>
        <n v="327502.600000003"/>
        <n v="316928.71000000602"/>
        <n v="341958.480000004"/>
        <n v="372922.64000000397"/>
        <n v="372639.02000000398"/>
        <n v="296663.17"/>
        <n v="274386.90000000101"/>
        <n v="333886.69000000402"/>
        <n v="349039.940000006"/>
        <n v="315346.87000000197"/>
        <n v="445313.46000000503"/>
        <n v="253894.05000000101"/>
        <n v="308580.00000000303"/>
        <n v="259547.80000000299"/>
        <n v="324529.44000000402"/>
        <n v="311423.47000000102"/>
        <n v="352280.61999999901"/>
        <n v="277367.540000004"/>
        <n v="314468.73000000301"/>
        <n v="287271.980000004"/>
        <n v="205359.02000000101"/>
        <n v="316193.93000000401"/>
        <n v="286710.29000000301"/>
        <n v="254982.56000000099"/>
        <n v="369540.19000000402"/>
        <n v="310296.60000000498"/>
        <n v="391688.51000000298"/>
        <n v="433807.23000000499"/>
        <n v="307174.27000000101"/>
        <n v="250087.31000000099"/>
        <n v="266965.39000000298"/>
        <n v="234242.64000000199"/>
        <n v="332860.780000003"/>
        <n v="259285.01000000301"/>
        <n v="299102.39000000397"/>
        <n v="349225.45000000298"/>
        <m/>
      </sharedItems>
    </cacheField>
    <cacheField name="Current Turnover" numFmtId="0">
      <sharedItems containsBlank="1" containsMixedTypes="1" containsNumber="1" count="84">
        <n v="71.4406191528617"/>
        <n v="75.290821568312296"/>
        <n v="64.398275505647504"/>
        <n v="54.370571152370999"/>
        <n v="66.707523195803404"/>
        <n v="83.504859995645802"/>
        <n v="45.261710592428201"/>
        <n v="58.456891954462101"/>
        <n v="57.419586186067001"/>
        <n v="52.750251431316599"/>
        <n v="38.337512284959601"/>
        <n v="63.521029750191303"/>
        <n v="66.150989752819697"/>
        <n v="67.164320587293503"/>
        <n v="85.736575303451005"/>
        <n v="59.900849564035198"/>
        <e v="#DIV/0!"/>
        <n v="67.549719788885596"/>
        <n v="62.753318331148598"/>
        <n v="80.810054587682401"/>
        <n v="82.708352678317098"/>
        <n v="81.918126693288102"/>
        <n v="87.242215296168794"/>
        <n v="73.006422581740097"/>
        <n v="74.6872466824762"/>
        <n v="69.618945449364901"/>
        <n v="70.368339685348303"/>
        <n v="66.574063346503706"/>
        <n v="90.655530903811794"/>
        <n v="90.506170288784205"/>
        <n v="111.63188051874199"/>
        <n v="118.321797450723"/>
        <n v="124.708560201913"/>
        <n v="89.480066261850396"/>
        <n v="79.677992904968093"/>
        <n v="90.532373441304102"/>
        <n v="68.674807465046996"/>
        <n v="94.345808667442"/>
        <n v="127.135066753004"/>
        <n v="78.142928828333496"/>
        <n v="125.37122843401001"/>
        <n v="86.873207620500693"/>
        <n v="140.04638848126399"/>
        <n v="93.907103593700995"/>
        <n v="107.691453899281"/>
        <n v="96.741812438976595"/>
        <n v="110.56689780607"/>
        <n v="94.037214835619096"/>
        <n v="101.65837433239599"/>
        <n v="116.583627329969"/>
        <n v="105.776793652281"/>
        <n v="101.16798783434299"/>
        <n v="109.303045011929"/>
        <n v="119.995425345846"/>
        <n v="122.133795122604"/>
        <n v="97.284520757215404"/>
        <n v="90.434873706245"/>
        <n v="111.394704620445"/>
        <n v="116.59666322595599"/>
        <n v="107.12661953912399"/>
        <n v="159.35435193800001"/>
        <n v="93.471850891730696"/>
        <n v="117.459838415639"/>
        <n v="99.035210031538099"/>
        <n v="124.27548086391199"/>
        <n v="124.143257401589"/>
        <n v="140.813758833816"/>
        <n v="112.29224501173999"/>
        <n v="127.430028660856"/>
        <n v="119.026250064737"/>
        <n v="87.987269965121399"/>
        <n v="135.687995605715"/>
        <n v="126.033861318115"/>
        <n v="113.74916243662599"/>
        <n v="196.899919305184"/>
        <n v="139.60409017631301"/>
        <n v="113.764069408243"/>
        <n v="123.306923271572"/>
        <n v="113.29216616798401"/>
        <n v="168.39008980947099"/>
        <n v="133.134479760017"/>
        <n v="158.15869981095901"/>
        <n v="191.58083422184501"/>
        <m/>
      </sharedItems>
    </cacheField>
    <cacheField name="In Store Stock Amt" numFmtId="0">
      <sharedItems containsNonDate="0" containsString="0" containsBlank="1" count="1">
        <m/>
      </sharedItems>
    </cacheField>
    <cacheField name="In transit  Amt." numFmtId="0">
      <sharedItems containsNonDate="0" containsString="0" containsBlank="1" count="1">
        <m/>
      </sharedItems>
    </cacheField>
    <cacheField name="On Order Amt." numFmtId="0">
      <sharedItems containsNonDate="0" containsString="0" containsBlank="1" count="1">
        <m/>
      </sharedItems>
    </cacheField>
    <cacheField name="total Store Stock Pcs (Plush)" numFmtId="0">
      <sharedItems containsNonDate="0" containsString="0" containsBlank="1" count="1">
        <m/>
      </sharedItems>
    </cacheField>
    <cacheField name="total  Store Stock Pcs (blind box)" numFmtId="0">
      <sharedItems containsNonDate="0" containsString="0" containsBlank="1" count="1">
        <m/>
      </sharedItems>
    </cacheField>
    <cacheField name="total  Store Stock Pcs (pillow)" numFmtId="0">
      <sharedItems containsNonDate="0" containsString="0" containsBlank="1" count="1">
        <m/>
      </sharedItems>
    </cacheField>
    <cacheField name="total Store Stock Pcs" numFmtId="0">
      <sharedItems containsNonDate="0" containsString="0" containsBlank="1" count="1">
        <m/>
      </sharedItems>
    </cacheField>
    <cacheField name="Average Day Sales Amt Forecast (Aug)" numFmtId="0">
      <sharedItems containsString="0" containsBlank="1" containsNumber="1" minValue="1822.8621428572001" maxValue="74240000" count="89">
        <n v="31403.830714282401"/>
        <n v="15823.742857142601"/>
        <n v="14180.388571428601"/>
        <n v="13574.173571428601"/>
        <n v="12092.7807142859"/>
        <n v="10218.4835714291"/>
        <n v="9757.5885714289998"/>
        <n v="9681.2885714290696"/>
        <n v="9574.2478571432894"/>
        <n v="9537.5378571432102"/>
        <n v="9454.0685714288593"/>
        <n v="9362.6035714292102"/>
        <n v="8963.0964285720001"/>
        <n v="8503.4471428577108"/>
        <n v="8392.9271428577104"/>
        <n v="8229.5150000004996"/>
        <n v="7543.95"/>
        <n v="7351.6000000004296"/>
        <n v="7225.9321428573603"/>
        <n v="6565.19071428599"/>
        <n v="6329.3128571431398"/>
        <n v="5979.2207142859097"/>
        <n v="5605.01642857156"/>
        <n v="5362.1071428572204"/>
        <n v="5239.2250000000704"/>
        <n v="4913.1285714285796"/>
        <n v="4838.3599999999797"/>
        <n v="4750.8992857142703"/>
        <n v="4590.6149999999798"/>
        <n v="4380.2649999999703"/>
        <n v="4259.2692857142501"/>
        <n v="4257.17214285709"/>
        <n v="4114.1135714285501"/>
        <n v="4064.3942857142702"/>
        <n v="4036.2242857142701"/>
        <n v="3958.7785714285601"/>
        <n v="3863.4914285714099"/>
        <n v="3815.0328571428499"/>
        <n v="3790.3057142857101"/>
        <n v="3737.9842857142899"/>
        <n v="3722.5442857142798"/>
        <n v="3543.3742857142902"/>
        <n v="3528.46214285715"/>
        <n v="3423.6292857142898"/>
        <n v="3420.9335714285899"/>
        <n v="3400.28"/>
        <n v="3359"/>
        <n v="3355.4271428571601"/>
        <n v="3287.8592857143099"/>
        <n v="3268.2221428571702"/>
        <n v="3248.7414285714399"/>
        <n v="3248.2307142857298"/>
        <n v="3237.21571428574"/>
        <n v="3191.05"/>
        <n v="3128.5357142857501"/>
        <n v="3107.8071428571702"/>
        <n v="3051.0721428571801"/>
        <n v="3049.43857142861"/>
        <n v="3034.0828571429001"/>
        <n v="2997.3300000000399"/>
        <n v="2993.56714285718"/>
        <n v="2943.6835714285999"/>
        <n v="2794.48571428575"/>
        <n v="2716.2621428572002"/>
        <n v="2627.11071428579"/>
        <n v="2620.76285714292"/>
        <n v="2611.37142857151"/>
        <n v="2508.5814285715201"/>
        <n v="2501.7485714286599"/>
        <n v="2470.0507142858"/>
        <n v="2467.7757142857899"/>
        <n v="2413.5178571429401"/>
        <n v="2333.9628571429298"/>
        <n v="2330.3014285715299"/>
        <n v="2274.8671428572202"/>
        <n v="2241.6214285715"/>
        <n v="2241"/>
        <n v="2203.1864285715001"/>
        <n v="2200.32428571438"/>
        <n v="2198.2978571429398"/>
        <n v="2165.0478571429198"/>
        <n v="2067.59785714291"/>
        <n v="1976.7242857143599"/>
        <n v="1947.5421428572099"/>
        <n v="1891.1535714286299"/>
        <n v="1822.8621428572001"/>
        <m/>
        <n v="105904.600000003"/>
        <n v="74240000"/>
      </sharedItems>
    </cacheField>
    <cacheField name="Average Day Sales Amt Forecast (Sept)" numFmtId="0">
      <sharedItems containsString="0" containsBlank="1" containsNumber="1" minValue="1822.8621428572001" maxValue="31403.830714282401" count="87">
        <n v="31403.830714282401"/>
        <n v="15823.742857142601"/>
        <n v="14524.4798245495"/>
        <n v="13574.173571428601"/>
        <n v="12092.7807142859"/>
        <n v="10218.4835714291"/>
        <n v="9757.5885714289998"/>
        <n v="9681.2885714290696"/>
        <n v="9574.2478571432894"/>
        <n v="9537.5378571432102"/>
        <n v="9454.0685714288593"/>
        <n v="11544.2228417653"/>
        <n v="8963.0964285720001"/>
        <n v="9523.8608000006407"/>
        <n v="8392.9271428577104"/>
        <n v="8539.6025148136196"/>
        <n v="8777.3858249999994"/>
        <n v="7351.6000000004296"/>
        <n v="7225.9321428573603"/>
        <n v="7411.6879779823103"/>
        <n v="7435.7981069913503"/>
        <n v="5979.2207142859097"/>
        <n v="5605.01642857156"/>
        <n v="5362.1071428572204"/>
        <n v="5239.2250000000704"/>
        <n v="4913.1285714285796"/>
        <n v="4854.8306557905098"/>
        <n v="4750.8992857142703"/>
        <n v="4590.6149999999798"/>
        <n v="5668.8822363160598"/>
        <n v="4259.2692857142501"/>
        <n v="4257.17214285709"/>
        <n v="4114.1135714285501"/>
        <n v="4460.8674220880603"/>
        <n v="4036.2242857142701"/>
        <n v="3958.7785714285601"/>
        <n v="3863.4914285714099"/>
        <n v="3815.0328571428499"/>
        <n v="3790.3057142857101"/>
        <n v="4138.7785043088697"/>
        <n v="3722.5442857142798"/>
        <n v="3543.3742857142902"/>
        <n v="3528.46214285715"/>
        <n v="4848.7582881192702"/>
        <n v="3420.9335714285899"/>
        <n v="3400.28"/>
        <n v="3908.1965"/>
        <n v="3355.4271428571601"/>
        <n v="3287.8592857143099"/>
        <n v="3366.3137506222401"/>
        <n v="3442.4427162519801"/>
        <n v="3248.2307142857298"/>
        <n v="3237.21571428574"/>
        <n v="3712.7866749999998"/>
        <n v="3128.5357142857501"/>
        <n v="3107.8071428571702"/>
        <n v="3051.0721428571801"/>
        <n v="3198.3847214156399"/>
        <n v="3034.0828571429001"/>
        <n v="2997.3300000000399"/>
        <n v="2993.56714285718"/>
        <n v="2943.6835714285999"/>
        <n v="2794.48571428575"/>
        <n v="2716.2621428572002"/>
        <n v="2627.11071428579"/>
        <n v="2620.76285714292"/>
        <n v="2611.37142857151"/>
        <n v="2508.5814285715201"/>
        <n v="2766.84886314919"/>
        <n v="2470.0507142858"/>
        <n v="2601.6265864550301"/>
        <n v="2413.5178571429401"/>
        <n v="2333.9628571429298"/>
        <n v="2330.3014285715299"/>
        <n v="2274.8671428572202"/>
        <n v="2418.3510412488599"/>
        <n v="2607.4034999999999"/>
        <n v="2203.1864285715001"/>
        <n v="2611.31947691287"/>
        <n v="2198.2978571429398"/>
        <n v="2165.0478571429198"/>
        <n v="2067.59785714291"/>
        <n v="1976.7242857143599"/>
        <n v="1947.5421428572099"/>
        <n v="1891.1535714286299"/>
        <n v="1822.8621428572001"/>
        <m/>
      </sharedItems>
    </cacheField>
    <cacheField name="9VS8" numFmtId="0">
      <sharedItems containsString="0" containsBlank="1" containsNumber="1" minValue="0" maxValue="0.41626265096854398" count="20">
        <n v="0"/>
        <n v="2.42652908548791E-2"/>
        <n v="0.233014166806497"/>
        <n v="0.12"/>
        <n v="3.7679925829541501E-2"/>
        <n v="0.12893719322643901"/>
        <n v="0.174819174659607"/>
        <n v="3.4041815388956599E-3"/>
        <n v="0.29418704948584001"/>
        <n v="9.75479022218224E-2"/>
        <n v="0.107222018060997"/>
        <n v="0.41626265096854398"/>
        <n v="3.0013751659889499E-2"/>
        <n v="5.9623485567983997E-2"/>
        <n v="4.8843794192990897E-2"/>
        <n v="0.105966001039483"/>
        <n v="5.4239480271398403E-2"/>
        <n v="7.8840079963897497E-2"/>
        <n v="0.18678846289471099"/>
        <m/>
      </sharedItems>
    </cacheField>
    <cacheField name="Average Day Sales Amt Forecast (obt)" numFmtId="0">
      <sharedItems containsString="0" containsBlank="1" containsNumber="1" minValue="2005.1483571429201" maxValue="34544.213785710701" count="87">
        <n v="34544.213785710701"/>
        <n v="17406.1171428569"/>
        <n v="15976.9278070044"/>
        <n v="14931.590928571501"/>
        <n v="13302.0587857145"/>
        <n v="11240.331928572101"/>
        <n v="10733.3474285719"/>
        <n v="10649.417428572"/>
        <n v="10531.6726428576"/>
        <n v="10491.291642857501"/>
        <n v="10399.475428571701"/>
        <n v="12698.645125941899"/>
        <n v="9859.4060714292009"/>
        <n v="10476.246880000699"/>
        <n v="9232.2198571434892"/>
        <n v="9393.5627662949792"/>
        <n v="9655.1244074999995"/>
        <n v="8086.7600000004704"/>
        <n v="7948.5253571430903"/>
        <n v="8152.8567757805404"/>
        <n v="8179.37791769048"/>
        <n v="6577.14278571451"/>
        <n v="6165.5180714287198"/>
        <n v="5898.3178571429498"/>
        <n v="5763.1475000000801"/>
        <n v="5404.4414285714402"/>
        <n v="5340.31372136956"/>
        <n v="5225.9892142856997"/>
        <n v="5049.6764999999796"/>
        <n v="6235.7704599476601"/>
        <n v="4685.1962142856801"/>
        <n v="4682.8893571427998"/>
        <n v="4525.5249285714099"/>
        <n v="4906.9541642968697"/>
        <n v="4439.8467142856998"/>
        <n v="4354.6564285714203"/>
        <n v="4249.84057142856"/>
        <n v="4196.5361428571396"/>
        <n v="4169.3362857142802"/>
        <n v="4552.65635473975"/>
        <n v="4094.79871428571"/>
        <n v="3897.7117142857201"/>
        <n v="3881.3083571428701"/>
        <n v="5333.63411693119"/>
        <n v="3763.0269285714398"/>
        <n v="3740.308"/>
        <n v="4299.0161500000004"/>
        <n v="3690.9698571428798"/>
        <n v="3616.6452142857502"/>
        <n v="3702.94512568446"/>
        <n v="3786.6869878771799"/>
        <n v="3573.0537857142999"/>
        <n v="3560.9372857143198"/>
        <n v="4084.0653425"/>
        <n v="3441.3892857143301"/>
        <n v="3418.5878571428898"/>
        <n v="3356.1793571428998"/>
        <n v="3518.2231935572099"/>
        <n v="3337.49114285719"/>
        <n v="3297.0630000000401"/>
        <n v="3292.9238571429"/>
        <n v="3238.0519285714599"/>
        <n v="3073.9342857143301"/>
        <n v="2987.8883571429201"/>
        <n v="2889.82178571437"/>
        <n v="2882.8391428572099"/>
        <n v="2872.5085714286602"/>
        <n v="2759.4395714286702"/>
        <n v="3043.5337494641099"/>
        <n v="2717.0557857143799"/>
        <n v="2861.78924510053"/>
        <n v="2654.8696428572298"/>
        <n v="2567.3591428572199"/>
        <n v="2563.33157142868"/>
        <n v="2502.3538571429399"/>
        <n v="2660.1861453737502"/>
        <n v="2868.1438499999999"/>
        <n v="2423.5050714286499"/>
        <n v="2872.4514246041599"/>
        <n v="2418.1276428572301"/>
        <n v="2381.5526428572098"/>
        <n v="2274.3576428572001"/>
        <n v="2174.3967142858"/>
        <n v="2142.29635714293"/>
        <n v="2080.2689285714901"/>
        <n v="2005.1483571429201"/>
        <m/>
      </sharedItems>
    </cacheField>
    <cacheField name="10VS9" numFmtId="9">
      <sharedItems containsString="0" containsBlank="1" containsNumber="1" minValue="1.1000000000000001" maxValue="1.1000000000000001" count="2">
        <n v="1.1000000000000001"/>
        <m/>
      </sharedItems>
    </cacheField>
    <cacheField name="Average Day Sales Amt in 14 days" numFmtId="0">
      <sharedItems containsString="0" containsBlank="1" containsNumber="1" minValue="0" maxValue="31403.830714282401" count="84">
        <n v="31403.830714282401"/>
        <n v="15823.742857142601"/>
        <n v="14180.388571428601"/>
        <n v="13574.173571428601"/>
        <n v="12092.7807142859"/>
        <n v="10218.4835714291"/>
        <n v="9757.5885714289998"/>
        <n v="9681.2885714290696"/>
        <n v="9574.2478571432894"/>
        <n v="9537.5378571432102"/>
        <n v="9454.0685714288593"/>
        <n v="9362.6035714292102"/>
        <n v="8963.0964285720001"/>
        <n v="8503.4471428577108"/>
        <n v="8392.9271428577104"/>
        <n v="8229.5150000004996"/>
        <n v="0"/>
        <n v="7351.6000000004296"/>
        <n v="7225.9321428573603"/>
        <n v="6565.19071428599"/>
        <n v="6329.3128571431398"/>
        <n v="5979.2207142859097"/>
        <n v="5605.01642857156"/>
        <n v="5362.1071428572204"/>
        <n v="5239.2250000000704"/>
        <n v="4913.1285714285796"/>
        <n v="4838.3599999999797"/>
        <n v="4750.8992857142703"/>
        <n v="4590.6149999999798"/>
        <n v="4380.2649999999703"/>
        <n v="4259.2692857142501"/>
        <n v="4257.17214285709"/>
        <n v="4114.1135714285501"/>
        <n v="4064.3942857142702"/>
        <n v="4036.2242857142701"/>
        <n v="3958.7785714285601"/>
        <n v="3863.4914285714099"/>
        <n v="3815.0328571428499"/>
        <n v="3790.3057142857101"/>
        <n v="3737.9842857142899"/>
        <n v="3722.5442857142798"/>
        <n v="3543.3742857142902"/>
        <n v="3528.46214285715"/>
        <n v="3423.6292857142898"/>
        <n v="3420.9335714285899"/>
        <n v="3400.28"/>
        <n v="3355.4271428571601"/>
        <n v="3287.8592857143099"/>
        <n v="3268.2221428571702"/>
        <n v="3248.7414285714399"/>
        <n v="3248.2307142857298"/>
        <n v="3237.21571428574"/>
        <n v="3128.5357142857501"/>
        <n v="3107.8071428571702"/>
        <n v="3051.0721428571801"/>
        <n v="3049.43857142861"/>
        <n v="3034.0828571429001"/>
        <n v="2997.3300000000399"/>
        <n v="2993.56714285718"/>
        <n v="2943.6835714285999"/>
        <n v="2794.48571428575"/>
        <n v="2716.2621428572002"/>
        <n v="2627.11071428579"/>
        <n v="2620.76285714292"/>
        <n v="2611.37142857151"/>
        <n v="2508.5814285715201"/>
        <n v="2501.7485714286599"/>
        <n v="2470.0507142858"/>
        <n v="2467.7757142857899"/>
        <n v="2413.5178571429401"/>
        <n v="2333.9628571429298"/>
        <n v="2330.3014285715299"/>
        <n v="2274.8671428572202"/>
        <n v="2241.6214285715"/>
        <n v="2203.1864285715001"/>
        <n v="2200.32428571438"/>
        <n v="2198.2978571429398"/>
        <n v="2165.0478571429198"/>
        <n v="2067.59785714291"/>
        <n v="1976.7242857143599"/>
        <n v="1947.5421428572099"/>
        <n v="1891.1535714286299"/>
        <n v="1822.8621428572001"/>
        <m/>
      </sharedItems>
    </cacheField>
    <cacheField name="Average Day Sales Qty in 14 days" numFmtId="0">
      <sharedItems containsString="0" containsBlank="1" containsNumber="1" minValue="0" maxValue="3885.1428571428601" count="84">
        <n v="3885.1428571428601"/>
        <n v="2018.7142857142901"/>
        <n v="1789.07142857143"/>
        <n v="1679.07142857143"/>
        <n v="1461.2142857142901"/>
        <n v="1286.2857142857099"/>
        <n v="1259.2857142857099"/>
        <n v="1231.8571428571399"/>
        <n v="1164.5"/>
        <n v="1196.2142857142901"/>
        <n v="1082.42857142857"/>
        <n v="1196.7857142857099"/>
        <n v="1151.07142857143"/>
        <n v="1055.2857142857099"/>
        <n v="1096.57142857143"/>
        <n v="1034.2142857142901"/>
        <n v="0"/>
        <n v="911.42857142857099"/>
        <n v="821.07142857142901"/>
        <n v="805.92857142857099"/>
        <n v="786.57142857142901"/>
        <n v="760.07142857142901"/>
        <n v="641.21428571428601"/>
        <n v="650.142857142857"/>
        <n v="645.357142857143"/>
        <n v="615.71428571428601"/>
        <n v="646.142857142857"/>
        <n v="592.21428571428601"/>
        <n v="570.642857142857"/>
        <n v="559.21428571428601"/>
        <n v="508.78571428571399"/>
        <n v="568.5"/>
        <n v="510.07142857142901"/>
        <n v="542.71428571428601"/>
        <n v="502.57142857142901"/>
        <n v="486.42857142857099"/>
        <n v="504.42857142857099"/>
        <n v="464.57142857142901"/>
        <n v="419.42857142857099"/>
        <n v="480.142857142857"/>
        <n v="470.57142857142901"/>
        <n v="459"/>
        <n v="457.71428571428601"/>
        <n v="412.07142857142901"/>
        <n v="438.78571428571399"/>
        <n v="443.42857142857099"/>
        <n v="396.57142857142901"/>
        <n v="424.78571428571399"/>
        <n v="409.92857142857099"/>
        <n v="394.92857142857099"/>
        <n v="394.78571428571399"/>
        <n v="378.42857142857099"/>
        <n v="382.142857142857"/>
        <n v="369.28571428571399"/>
        <n v="371.357142857143"/>
        <n v="395.42857142857099"/>
        <n v="388.142857142857"/>
        <n v="359.857142857143"/>
        <n v="357.57142857142901"/>
        <n v="360.21428571428601"/>
        <n v="372.857142857143"/>
        <n v="355.92857142857099"/>
        <n v="317.5"/>
        <n v="313"/>
        <n v="323.57142857142901"/>
        <n v="313.28571428571399"/>
        <n v="328.71428571428601"/>
        <n v="284.21428571428601"/>
        <n v="293.857142857143"/>
        <n v="301.78571428571399"/>
        <n v="289.42857142857099"/>
        <n v="284.142857142857"/>
        <n v="281.142857142857"/>
        <n v="284.28571428571399"/>
        <n v="256.357142857143"/>
        <n v="310.42857142857099"/>
        <n v="284.5"/>
        <n v="255.92857142857099"/>
        <n v="250.92857142857099"/>
        <n v="252.57142857142901"/>
        <n v="235.07142857142901"/>
        <n v="227.5"/>
        <n v="235.21428571428601"/>
        <m/>
      </sharedItems>
    </cacheField>
    <cacheField name="Week Sales QTY" numFmtId="0">
      <sharedItems containsString="0" containsBlank="1" containsNumber="1" containsInteger="1" minValue="0" maxValue="28749" count="80">
        <n v="28749"/>
        <n v="14175"/>
        <n v="14315"/>
        <n v="11914"/>
        <n v="10675"/>
        <n v="8911"/>
        <n v="10451"/>
        <n v="9212"/>
        <n v="10710"/>
        <n v="9156"/>
        <n v="9303"/>
        <n v="8071"/>
        <n v="7532"/>
        <n v="7518"/>
        <n v="8316"/>
        <n v="7756"/>
        <n v="0"/>
        <n v="7168"/>
        <n v="5901"/>
        <n v="5411"/>
        <n v="5950"/>
        <n v="5005"/>
        <n v="4998"/>
        <n v="5159"/>
        <n v="5096"/>
        <n v="4802"/>
        <n v="4550"/>
        <n v="4172"/>
        <n v="4354"/>
        <n v="4459"/>
        <n v="4487"/>
        <n v="4606"/>
        <n v="4123"/>
        <n v="4053"/>
        <n v="4326"/>
        <n v="3605"/>
        <n v="4046"/>
        <n v="3388"/>
        <n v="3703"/>
        <n v="3339"/>
        <n v="3472"/>
        <n v="2828"/>
        <n v="3500"/>
        <n v="3115"/>
        <n v="3122"/>
        <n v="3199"/>
        <n v="2940"/>
        <n v="3143"/>
        <n v="2919"/>
        <n v="2737"/>
        <n v="2464"/>
        <n v="2884"/>
        <n v="3178"/>
        <n v="2576"/>
        <n v="2723"/>
        <n v="2548"/>
        <n v="2779"/>
        <n v="8246"/>
        <n v="2352"/>
        <n v="2303"/>
        <n v="2114"/>
        <n v="2359"/>
        <n v="2415"/>
        <n v="2086"/>
        <n v="2478"/>
        <n v="2541"/>
        <n v="2177"/>
        <n v="2121"/>
        <n v="1988"/>
        <n v="2254"/>
        <n v="2058"/>
        <n v="2639"/>
        <n v="2373"/>
        <n v="2016"/>
        <n v="2079"/>
        <n v="1946"/>
        <n v="1743"/>
        <n v="1680"/>
        <n v="1792"/>
        <m/>
      </sharedItems>
    </cacheField>
    <cacheField name="Sales Qty in 7 days(Plush)" numFmtId="0">
      <sharedItems containsNonDate="0" containsString="0" containsBlank="1" count="1">
        <m/>
      </sharedItems>
    </cacheField>
    <cacheField name="Sales Qty in 7 days(Pillow)" numFmtId="0">
      <sharedItems containsNonDate="0" containsString="0" containsBlank="1" count="1">
        <m/>
      </sharedItems>
    </cacheField>
    <cacheField name="Sales Qty in 7 days(Blind box)" numFmtId="0">
      <sharedItems containsNonDate="0" containsString="0" containsBlank="1" count="1">
        <m/>
      </sharedItems>
    </cacheField>
    <cacheField name="Replenish amount（10k）" numFmtId="0">
      <sharedItems containsString="0" containsBlank="1" containsNumber="1" minValue="-52818.445714285401" maxValue="546808.473" count="91">
        <n v="414943.7256763"/>
        <n v="267072.52571428998"/>
        <n v="318923.279773944"/>
        <n v="365104.772142865"/>
        <n v="242705.25642858999"/>
        <n v="203411.18774289501"/>
        <n v="406532.52714287501"/>
        <n v="288647.24714288401"/>
        <n v="312910.22071430099"/>
        <n v="504546.81071429898"/>
        <n v="340273.71714286698"/>
        <n v="371432.84149700397"/>
        <n v="248088.32785717101"/>
        <n v="349515.80348574999"/>
        <n v="103082.99428574499"/>
        <n v="287321.84062217601"/>
        <n v="220122.72542499399"/>
        <n v="221158.020000021"/>
        <n v="186662.82928571801"/>
        <n v="160550.08150383399"/>
        <n v="264258.16295686201"/>
        <n v="233533.52642857601"/>
        <n v="168360.141557147"/>
        <n v="228893.756685717"/>
        <n v="138639.215000002"/>
        <n v="157891.65714285499"/>
        <n v="156245.247543201"/>
        <n v="145747.08357142701"/>
        <n v="87161.354999998905"/>
        <n v="183473.29892527501"/>
        <n v="39638.5185714256"/>
        <n v="116338.539285712"/>
        <n v="89132.552142850604"/>
        <n v="112799.55029912799"/>
        <n v="112751.91857142599"/>
        <n v="218524.25714285401"/>
        <n v="133838.05285714101"/>
        <n v="83309.497093591403"/>
        <n v="81631.161428565494"/>
        <n v="113631.7657524"/>
        <n v="-40643.4214285735"/>
        <n v="106838.848571428"/>
        <n v="-39497.575714291801"/>
        <n v="124069.11167243699"/>
        <n v="56062.302142854402"/>
        <n v="87558.269999996599"/>
        <n v="416240.0785"/>
        <n v="546808.473"/>
        <n v="527944.68850000401"/>
        <n v="61038.964285713701"/>
        <n v="61863.943571427997"/>
        <n v="52598.236811848503"/>
        <n v="68931.255953486499"/>
        <n v="44763.6014285692"/>
        <n v="76247.8128078796"/>
        <n v="153353.627074994"/>
        <n v="63445.051428569197"/>
        <n v="118752.186285712"/>
        <n v="30606.624285712802"/>
        <n v="53503.005442314097"/>
        <n v="92682.285714287194"/>
        <n v="93024.852399999407"/>
        <n v="8839.2156650203997"/>
        <n v="61474.962142856297"/>
        <n v="40782.271428567801"/>
        <n v="58175.419285716504"/>
        <n v="65945.611428572098"/>
        <n v="84623.295714286607"/>
        <n v="61596.902857144203"/>
        <n v="36031.322857146202"/>
        <n v="19344.419395124802"/>
        <n v="57112.621428572696"/>
        <n v="41375.324164865197"/>
        <n v="46736.855714286503"/>
        <n v="53201.265714288696"/>
        <n v="50646.232857144103"/>
        <n v="33623.774285715401"/>
        <n v="53531.356589595001"/>
        <n v="153110.99149999599"/>
        <n v="159235.301499995"/>
        <n v="402680.59699999698"/>
        <n v="46410.8028571416"/>
        <n v="39669.646601769098"/>
        <n v="43740.730714289297"/>
        <n v="50395.1257142865"/>
        <n v="27597.5307142862"/>
        <n v="-31791.221428570199"/>
        <n v="51468.4042857155"/>
        <n v="5091.9671428565598"/>
        <n v="-52818.445714285401"/>
        <m/>
      </sharedItems>
    </cacheField>
    <cacheField name="Replenish Quantity" numFmtId="0">
      <sharedItems containsString="0" containsBlank="1" containsNumber="1" minValue="0" maxValue="68351.059125" count="88">
        <n v="51867.965709537501"/>
        <n v="33384.065714286196"/>
        <n v="39865.409971743"/>
        <n v="45638.096517858197"/>
        <n v="30338.157053573799"/>
        <n v="25426.3984678618"/>
        <n v="50816.565892859297"/>
        <n v="36080.905892860501"/>
        <n v="39113.777589287602"/>
        <n v="63068.351339287401"/>
        <n v="42534.214642858402"/>
        <n v="46429.105187125497"/>
        <n v="31011.0409821463"/>
        <n v="43689.475435718799"/>
        <n v="12885.374285718101"/>
        <n v="35915.230077771899"/>
        <n v="27515.340678124299"/>
        <n v="27644.752500002702"/>
        <n v="23332.853660714802"/>
        <n v="20068.7601879793"/>
        <n v="33032.270369607802"/>
        <n v="29191.690803572001"/>
        <n v="21045.0176946434"/>
        <n v="28611.719585714702"/>
        <n v="17329.901875000302"/>
        <n v="19736.4571428569"/>
        <n v="19530.655942900099"/>
        <n v="18218.385446428299"/>
        <n v="10895.169374999899"/>
        <n v="22934.162365659398"/>
        <n v="4954.8148214282"/>
        <n v="14542.3174107141"/>
        <n v="11141.5690178563"/>
        <n v="14099.943787390999"/>
        <n v="14093.9898214283"/>
        <n v="27315.5321428567"/>
        <n v="16729.756607142601"/>
        <n v="10413.6871366989"/>
        <n v="10203.895178570699"/>
        <n v="14203.970719049999"/>
        <n v="0"/>
        <n v="13354.856071428499"/>
        <n v="15508.638959054701"/>
        <n v="7007.7877678568002"/>
        <n v="10944.7837499996"/>
        <n v="52030.0098125"/>
        <n v="68351.059125"/>
        <n v="65993.086062500603"/>
        <n v="7629.8705357142098"/>
        <n v="7732.9929464284896"/>
        <n v="6574.7796014810701"/>
        <n v="8616.4069941858197"/>
        <n v="5595.45017857115"/>
        <n v="9530.97660098495"/>
        <n v="19169.203384374199"/>
        <n v="7930.6314285711596"/>
        <n v="14844.023285714"/>
        <n v="3825.8280357141002"/>
        <n v="6687.8756802892703"/>
        <n v="11585.285714285899"/>
        <n v="11628.1065499999"/>
        <n v="1104.90195812755"/>
        <n v="7684.3702678570398"/>
        <n v="5097.7839285709797"/>
        <n v="7271.9274107145602"/>
        <n v="8243.2014285715104"/>
        <n v="10577.9119642858"/>
        <n v="7699.6128571430299"/>
        <n v="4503.9153571432798"/>
        <n v="2418.0524243906002"/>
        <n v="7139.0776785715898"/>
        <n v="5171.9155206081496"/>
        <n v="5842.1069642858101"/>
        <n v="6650.1582142860898"/>
        <n v="6330.7791071430102"/>
        <n v="4202.9717857144296"/>
        <n v="6691.4195736993797"/>
        <n v="19138.873937499498"/>
        <n v="19904.4126874994"/>
        <n v="50335.074624999601"/>
        <n v="5801.3503571427"/>
        <n v="4958.70582522114"/>
        <n v="5467.5913392861603"/>
        <n v="6299.3907142858097"/>
        <n v="3449.69133928578"/>
        <n v="6433.5505357144402"/>
        <n v="636.49589285706998"/>
        <m/>
      </sharedItems>
    </cacheField>
    <cacheField name="Replenish Quantity (Plush)" numFmtId="0">
      <sharedItems containsNonDate="0" containsString="0" containsBlank="1" count="1">
        <m/>
      </sharedItems>
    </cacheField>
    <cacheField name="Replenish Quantity (pillow)" numFmtId="0">
      <sharedItems containsNonDate="0" containsString="0" containsBlank="1" count="1">
        <m/>
      </sharedItems>
    </cacheField>
    <cacheField name="Replenish Quantity (Blind box)" numFmtId="0">
      <sharedItems containsNonDate="0" containsString="0" containsBlank="1" count="1">
        <m/>
      </sharedItems>
    </cacheField>
    <cacheField name="Inventory Status" numFmtId="0">
      <sharedItems containsNonDate="0" containsString="0" containsBlank="1" count="1">
        <m/>
      </sharedItems>
    </cacheField>
    <cacheField name="Week 8/28" numFmtId="0">
      <sharedItems containsString="0" containsBlank="1" containsNumber="1" minValue="0" maxValue="219826.81499997701" count="82">
        <n v="219826.81499997701"/>
        <n v="110766.199999998"/>
        <n v="100294.993759363"/>
        <n v="95019.215000000506"/>
        <n v="84649.465000001495"/>
        <n v="71529.385000003997"/>
        <n v="90000"/>
        <n v="67769.020000003497"/>
        <n v="67019.735000002998"/>
        <n v="80000"/>
        <n v="66178.480000002004"/>
        <n v="72083.082811012806"/>
        <n v="62741.675000003997"/>
        <n v="70000"/>
        <n v="40000"/>
        <n v="58536.867544442903"/>
        <n v="56507.957475000003"/>
        <n v="51461.200000003002"/>
        <n v="50581.5250000015"/>
        <n v="48495.826791090898"/>
        <n v="52050.5867489394"/>
        <n v="50000"/>
        <n v="39235.115000001002"/>
        <n v="36674.575000000499"/>
        <n v="34391.900000000103"/>
        <n v="33917.931967371398"/>
        <n v="33256.294999999896"/>
        <n v="32134.304999999898"/>
        <n v="34527.706708948099"/>
        <n v="29814.884999999798"/>
        <n v="29800.204999999602"/>
        <n v="28798.7949999999"/>
        <n v="29640.179409121301"/>
        <n v="28253.569999999901"/>
        <n v="27044.4399999999"/>
        <n v="26705.229999999901"/>
        <n v="26532.139999999901"/>
        <n v="27368.272655783701"/>
        <n v="26057.809999999899"/>
        <n v="24803.62"/>
        <n v="24699.235000000099"/>
        <n v="23946.535000000102"/>
        <n v="23801.96"/>
        <n v="0"/>
        <n v="23487.990000000202"/>
        <n v="23015.0150000002"/>
        <n v="23171.8298232954"/>
        <n v="22737.6150000001"/>
        <n v="22660.510000000198"/>
        <n v="120000"/>
        <n v="21899.750000000298"/>
        <n v="21754.650000000202"/>
        <n v="21357.505000000201"/>
        <n v="21792.9084499614"/>
        <n v="21238.5800000003"/>
        <n v="20981.310000000201"/>
        <n v="20954.970000000201"/>
        <n v="20605.7850000002"/>
        <n v="19013.835000000399"/>
        <n v="18389.7750000005"/>
        <n v="18345.340000000499"/>
        <n v="18279.600000000599"/>
        <n v="17560.070000000698"/>
        <n v="18307.540875162202"/>
        <n v="17290.3550000006"/>
        <n v="17675.9826165083"/>
        <n v="16894.625000000498"/>
        <n v="16337.7400000005"/>
        <n v="16312.110000000701"/>
        <n v="15924.0700000006"/>
        <n v="16221.5388380326"/>
        <n v="30000"/>
        <n v="60000"/>
        <n v="15422.305000000501"/>
        <n v="16635.2555735961"/>
        <n v="15388.085000000599"/>
        <n v="15155.335000000499"/>
        <n v="14473.1850000004"/>
        <n v="13837.0700000006"/>
        <n v="13632.7950000004"/>
        <n v="13238.075000000401"/>
        <m/>
      </sharedItems>
    </cacheField>
    <cacheField name="Week 9/4" numFmtId="0">
      <sharedItems containsString="0" containsBlank="1" containsNumber="1" minValue="0" maxValue="320000" count="84">
        <n v="219826.81499997701"/>
        <n v="110766.199999998"/>
        <n v="101671.358771846"/>
        <n v="95019.215000000506"/>
        <n v="84649.465000001495"/>
        <n v="71529.385000003997"/>
        <n v="90000"/>
        <n v="67769.020000003497"/>
        <n v="67019.735000002998"/>
        <n v="80000"/>
        <n v="66178.480000002004"/>
        <n v="80809.559892357298"/>
        <n v="62741.675000003997"/>
        <n v="70000"/>
        <n v="40000"/>
        <n v="59777.217603695302"/>
        <n v="61441.700774999998"/>
        <n v="51461.200000003002"/>
        <n v="50581.5250000015"/>
        <n v="51881.815845876197"/>
        <n v="52050.5867489394"/>
        <n v="50000"/>
        <n v="39235.115000001002"/>
        <n v="36674.575000000499"/>
        <n v="34391.900000000103"/>
        <n v="33983.814590533599"/>
        <n v="33256.294999999896"/>
        <n v="32134.304999999898"/>
        <n v="39682.175654212399"/>
        <n v="29814.884999999798"/>
        <n v="29800.204999999602"/>
        <n v="28798.7949999999"/>
        <n v="31226.0719546164"/>
        <n v="28253.569999999901"/>
        <n v="27044.4399999999"/>
        <n v="26705.229999999901"/>
        <n v="26532.139999999901"/>
        <n v="28971.449530162099"/>
        <n v="26057.81"/>
        <n v="24803.62"/>
        <n v="24699.235000000099"/>
        <n v="23946.535000000102"/>
        <n v="23801.96"/>
        <n v="240000"/>
        <n v="0"/>
        <n v="320000"/>
        <n v="23487.990000000202"/>
        <n v="23015.0150000002"/>
        <n v="23564.196254355698"/>
        <n v="22737.6150000001"/>
        <n v="22660.510000000198"/>
        <n v="120000"/>
        <n v="21899.750000000298"/>
        <n v="21754.650000000202"/>
        <n v="21357.505000000201"/>
        <n v="22388.6930499095"/>
        <n v="21238.5800000003"/>
        <n v="20981.310000000201"/>
        <n v="20954.970000000201"/>
        <n v="20605.7850000002"/>
        <n v="19013.835000000399"/>
        <n v="18389.7750000005"/>
        <n v="18345.340000000499"/>
        <n v="18279.600000000599"/>
        <n v="17560.070000000698"/>
        <n v="19367.942042044298"/>
        <n v="17290.3550000006"/>
        <n v="18211.3861051852"/>
        <n v="16894.625000000498"/>
        <n v="16337.7400000005"/>
        <n v="16312.110000000701"/>
        <n v="15924.0700000006"/>
        <n v="16928.457288742"/>
        <n v="30000"/>
        <n v="15422.305000000501"/>
        <n v="18279.236338390099"/>
        <n v="15388.085000000599"/>
        <n v="15155.335000000499"/>
        <n v="14473.1850000004"/>
        <n v="13837.0700000006"/>
        <n v="13632.7950000004"/>
        <n v="13238.075000000401"/>
        <n v="20000"/>
        <m/>
      </sharedItems>
    </cacheField>
    <cacheField name="Week 9/11" numFmtId="0">
      <sharedItems containsString="0" containsBlank="1" containsNumber="1" minValue="13238.075000000401" maxValue="320000" count="82">
        <n v="219826.81499997701"/>
        <n v="110766.199999998"/>
        <n v="101671.358771846"/>
        <n v="95019.215000000506"/>
        <n v="84649.465000001495"/>
        <n v="71529.385000003997"/>
        <n v="90000"/>
        <n v="67769.020000003497"/>
        <n v="67019.735000002998"/>
        <n v="80000"/>
        <n v="66178.480000002004"/>
        <n v="80809.559892357298"/>
        <n v="62741.675000003997"/>
        <n v="70000"/>
        <n v="40000"/>
        <n v="59777.217603695302"/>
        <n v="61441.700774999998"/>
        <n v="51461.200000003002"/>
        <n v="50581.5250000015"/>
        <n v="51881.815845876197"/>
        <n v="52050.5867489394"/>
        <n v="50000"/>
        <n v="39235.115000001002"/>
        <n v="36674.575000000499"/>
        <n v="34391.900000000103"/>
        <n v="33983.814590533599"/>
        <n v="33256.294999999896"/>
        <n v="32134.304999999898"/>
        <n v="39682.175654212399"/>
        <n v="29814.884999999798"/>
        <n v="29800.204999999602"/>
        <n v="28798.7949999999"/>
        <n v="31226.0719546164"/>
        <n v="28253.569999999901"/>
        <n v="27044.4399999999"/>
        <n v="26705.229999999901"/>
        <n v="26532.139999999901"/>
        <n v="28971.449530162099"/>
        <n v="26057.81"/>
        <n v="24803.62"/>
        <n v="24699.235000000099"/>
        <n v="23946.535000000102"/>
        <n v="23801.96"/>
        <n v="27357.375499999998"/>
        <n v="320000"/>
        <n v="23487.990000000202"/>
        <n v="23015.0150000002"/>
        <n v="23564.196254355698"/>
        <n v="22737.6150000001"/>
        <n v="22660.510000000198"/>
        <n v="21899.750000000298"/>
        <n v="21754.650000000202"/>
        <n v="21357.505000000201"/>
        <n v="22388.6930499095"/>
        <n v="21238.5800000003"/>
        <n v="20981.310000000201"/>
        <n v="20954.970000000201"/>
        <n v="20605.7850000002"/>
        <n v="19013.835000000399"/>
        <n v="18389.7750000005"/>
        <n v="18345.340000000499"/>
        <n v="18279.600000000599"/>
        <n v="17560.070000000698"/>
        <n v="19367.942042044298"/>
        <n v="17290.3550000006"/>
        <n v="18211.3861051852"/>
        <n v="16894.625000000498"/>
        <n v="16337.7400000005"/>
        <n v="16312.110000000701"/>
        <n v="15924.0700000006"/>
        <n v="16928.457288742"/>
        <n v="30000"/>
        <n v="15422.305000000501"/>
        <n v="18279.236338390099"/>
        <n v="15388.085000000599"/>
        <n v="15155.335000000499"/>
        <n v="14473.1850000004"/>
        <n v="13837.0700000006"/>
        <n v="13632.7950000004"/>
        <n v="13238.075000000401"/>
        <n v="20000"/>
        <m/>
      </sharedItems>
    </cacheField>
    <cacheField name="Week 9/18" numFmtId="0">
      <sharedItems containsString="0" containsBlank="1" containsNumber="1" minValue="13238.075000000401" maxValue="219826.81499997701" count="83">
        <n v="219826.81499997701"/>
        <n v="110766.199999998"/>
        <n v="101671.358771846"/>
        <n v="95019.215000000506"/>
        <n v="84649.465000001495"/>
        <n v="71529.385000003997"/>
        <n v="90000"/>
        <n v="67769.020000003497"/>
        <n v="67019.735000002998"/>
        <n v="80000"/>
        <n v="66178.480000002004"/>
        <n v="80809.559892357298"/>
        <n v="62741.675000003997"/>
        <n v="70000"/>
        <n v="40000"/>
        <n v="59777.217603695302"/>
        <n v="61441.700774999998"/>
        <n v="51461.200000003002"/>
        <n v="50581.5250000015"/>
        <n v="51881.815845876197"/>
        <n v="52050.5867489394"/>
        <n v="50000"/>
        <n v="39235.115000001002"/>
        <n v="36674.575000000499"/>
        <n v="34391.900000000103"/>
        <n v="33983.814590533599"/>
        <n v="33256.294999999896"/>
        <n v="32134.304999999898"/>
        <n v="39682.175654212399"/>
        <n v="29814.884999999798"/>
        <n v="29800.204999999602"/>
        <n v="28798.7949999999"/>
        <n v="31226.0719546164"/>
        <n v="28253.569999999901"/>
        <n v="27044.4399999999"/>
        <n v="26705.229999999901"/>
        <n v="26532.139999999901"/>
        <n v="28971.449530162099"/>
        <n v="26057.81"/>
        <n v="24803.62"/>
        <n v="24699.235000000099"/>
        <n v="33941.308016834897"/>
        <n v="23946.535000000102"/>
        <n v="23801.96"/>
        <n v="27357.375499999998"/>
        <n v="23487.990000000202"/>
        <n v="23015.0150000002"/>
        <n v="23564.196254355698"/>
        <n v="22737.6150000001"/>
        <n v="22660.510000000198"/>
        <n v="21899.750000000298"/>
        <n v="21754.650000000202"/>
        <n v="21357.505000000201"/>
        <n v="22388.6930499095"/>
        <n v="21238.5800000003"/>
        <n v="20981.310000000201"/>
        <n v="20954.970000000201"/>
        <n v="20605.7850000002"/>
        <n v="19013.835000000399"/>
        <n v="18389.7750000005"/>
        <n v="18345.340000000499"/>
        <n v="18279.600000000599"/>
        <n v="17560.070000000698"/>
        <n v="19367.942042044298"/>
        <n v="17290.3550000006"/>
        <n v="18211.3861051852"/>
        <n v="16894.625000000498"/>
        <n v="16337.7400000005"/>
        <n v="16312.110000000701"/>
        <n v="15924.0700000006"/>
        <n v="16928.457288742"/>
        <n v="30000"/>
        <n v="18251.824499999999"/>
        <n v="15422.305000000501"/>
        <n v="18279.236338390099"/>
        <n v="15388.085000000599"/>
        <n v="15155.335000000499"/>
        <n v="14473.1850000004"/>
        <n v="13837.0700000006"/>
        <n v="13632.7950000004"/>
        <n v="13238.075000000401"/>
        <n v="20000"/>
        <m/>
      </sharedItems>
    </cacheField>
    <cacheField name="Week 9/25" numFmtId="0">
      <sharedItems containsString="0" containsBlank="1" containsNumber="1" minValue="13427.190357143299" maxValue="222967.198071405" count="82">
        <n v="222967.198071405"/>
        <n v="112348.574285713"/>
        <n v="103123.806754301"/>
        <n v="96376.632357143404"/>
        <n v="85858.743071430101"/>
        <n v="72551.233357146906"/>
        <n v="90000"/>
        <n v="68737.1488571464"/>
        <n v="67977.159785717304"/>
        <n v="80000"/>
        <n v="67123.886857144898"/>
        <n v="81963.982176533798"/>
        <n v="63637.9846428612"/>
        <n v="70000"/>
        <n v="40000"/>
        <n v="60631.177855176698"/>
        <n v="62319.439357499999"/>
        <n v="52196.360000002998"/>
        <n v="51304.118214287198"/>
        <n v="52622.984643674397"/>
        <n v="52794.166559638601"/>
        <n v="50000"/>
        <n v="39795.616642858098"/>
        <n v="37198.4975000005"/>
        <n v="34883.212857142898"/>
        <n v="34469.297656112598"/>
        <n v="33731.3849285713"/>
        <n v="32593.3664999998"/>
        <n v="40249.063877843997"/>
        <n v="30240.811928571198"/>
        <n v="30225.922214285401"/>
        <n v="29210.206357142699"/>
        <n v="31672.158696825201"/>
        <n v="28657.192428571299"/>
        <n v="27430.789142857"/>
        <n v="27086.733285714199"/>
        <n v="26911.170571428502"/>
        <n v="29385.327380592898"/>
        <n v="26430.064428571401"/>
        <n v="25157.957428571499"/>
        <n v="25052.081214285801"/>
        <n v="34426.183845646803"/>
        <n v="24288.628357142999"/>
        <n v="24141.988000000001"/>
        <n v="27748.19515"/>
        <n v="23823.532714285899"/>
        <n v="23343.8009285716"/>
        <n v="23900.827629417901"/>
        <n v="23062.4380714287"/>
        <n v="22984.231571428802"/>
        <n v="22212.603571428801"/>
        <n v="22065.4307142859"/>
        <n v="21662.612214286"/>
        <n v="22708.5315220511"/>
        <n v="21541.9882857146"/>
        <n v="21281.0430000003"/>
        <n v="21254.326714285999"/>
        <n v="20900.153357143099"/>
        <n v="19285.461214286101"/>
        <n v="18652.486071429099"/>
        <n v="18607.416285714698"/>
        <n v="18540.737142857699"/>
        <n v="17810.9281428578"/>
        <n v="19644.626928359299"/>
        <n v="17537.360071429201"/>
        <n v="18471.548763830699"/>
        <n v="17135.9767857148"/>
        <n v="16571.136285714801"/>
        <n v="16545.140142857901"/>
        <n v="16151.5567142863"/>
        <n v="17170.292392866901"/>
        <n v="30000"/>
        <n v="15642.623642857699"/>
        <n v="18540.368286081401"/>
        <n v="15607.9147857149"/>
        <n v="15371.839785714699"/>
        <n v="14679.944785714601"/>
        <n v="14034.742428572001"/>
        <n v="13827.5492142862"/>
        <n v="13427.190357143299"/>
        <n v="20000"/>
        <m/>
      </sharedItems>
    </cacheField>
    <cacheField name="Week 8/282" numFmtId="0">
      <sharedItems containsString="0" containsBlank="1" containsNumber="1" minValue="0" maxValue="27478.351874997101" count="80">
        <n v="27478.351874997101"/>
        <n v="13845.7749999998"/>
        <n v="12536.874219920301"/>
        <n v="11877.4018750001"/>
        <n v="10581.1831250002"/>
        <n v="8941.1731250004996"/>
        <n v="11000"/>
        <n v="8471.1275000004407"/>
        <n v="10000"/>
        <n v="9010.3853513766007"/>
        <n v="7842.7093750004997"/>
        <n v="8750"/>
        <n v="5000"/>
        <n v="7317.1084430553601"/>
        <n v="7063.4946843750004"/>
        <n v="6432.6500000003798"/>
        <n v="6322.6906250001903"/>
        <n v="6061.9783488863604"/>
        <n v="6506.3233436174296"/>
        <n v="6250"/>
        <n v="4904.3893750001298"/>
        <n v="4584.3218750000597"/>
        <n v="4298.9875000000102"/>
        <n v="4239.7414959214302"/>
        <n v="4157.0368749999898"/>
        <n v="4016.78812499999"/>
        <n v="4315.9633386185096"/>
        <n v="3726.8606249999798"/>
        <n v="3725.0256249999502"/>
        <n v="3599.8493749999898"/>
        <n v="3705.02242614016"/>
        <n v="3531.69624999999"/>
        <n v="3380.5549999999898"/>
        <n v="3338.1537499999899"/>
        <n v="3316.5174999999899"/>
        <n v="3421.0340819729599"/>
        <n v="3257.2262499999902"/>
        <n v="3100.4524999999999"/>
        <n v="3087.4043750000101"/>
        <n v="2993.31687500001"/>
        <n v="2975.2449999999999"/>
        <n v="0"/>
        <n v="2935.9987500000302"/>
        <n v="2876.8768750000299"/>
        <n v="2896.47872791193"/>
        <n v="2842.2018750000102"/>
        <n v="2832.5637500000298"/>
        <n v="15000"/>
        <n v="2737.46875000004"/>
        <n v="2719.3312500000302"/>
        <n v="2669.6881250000301"/>
        <n v="2724.11355624518"/>
        <n v="2654.8225000000398"/>
        <n v="2622.6637500000302"/>
        <n v="2619.3712500000302"/>
        <n v="2575.72312500003"/>
        <n v="2376.7293750000499"/>
        <n v="2298.7218750000602"/>
        <n v="2293.16750000006"/>
        <n v="2284.9500000000799"/>
        <n v="2195.00875000009"/>
        <n v="2288.4426093952802"/>
        <n v="2161.29437500008"/>
        <n v="2209.4978270635402"/>
        <n v="2111.82812500006"/>
        <n v="2042.21750000006"/>
        <n v="2039.0137500000901"/>
        <n v="1990.50875000008"/>
        <n v="2027.69235475408"/>
        <n v="3750"/>
        <n v="6570"/>
        <n v="1927.7881250000601"/>
        <n v="2079.4069466995102"/>
        <n v="1923.5106250000799"/>
        <n v="1894.4168750000599"/>
        <n v="1809.14812500005"/>
        <n v="1729.63375000008"/>
        <n v="1704.09937500005"/>
        <n v="1654.7593750000501"/>
        <m/>
      </sharedItems>
    </cacheField>
    <cacheField name="Week 9/42" numFmtId="0">
      <sharedItems containsString="0" containsBlank="1" containsNumber="1" minValue="0" maxValue="40000" count="84">
        <n v="27478.351874997101"/>
        <n v="13845.7749999998"/>
        <n v="12708.9198464808"/>
        <n v="11877.4018750001"/>
        <n v="10581.1831250002"/>
        <n v="8941.1731250004996"/>
        <n v="11250"/>
        <n v="8471.1275000004407"/>
        <n v="8377.4668750003802"/>
        <n v="10000"/>
        <n v="8272.3100000002505"/>
        <n v="10101.1949865447"/>
        <n v="7842.7093750004997"/>
        <n v="8750"/>
        <n v="5000"/>
        <n v="7472.1522004619101"/>
        <n v="7680.2125968749997"/>
        <n v="6432.6500000003798"/>
        <n v="6322.6906250001903"/>
        <n v="6485.2269807345301"/>
        <n v="6506.3233436174296"/>
        <n v="6250"/>
        <n v="4904.3893750001298"/>
        <n v="4584.3218750000597"/>
        <n v="4298.9875000000102"/>
        <n v="4247.9768238166998"/>
        <n v="4157.0368749999898"/>
        <n v="4016.78812499999"/>
        <n v="4960.2719567765498"/>
        <n v="3726.8606249999798"/>
        <n v="3725.0256249999502"/>
        <n v="3599.8493749999898"/>
        <n v="3903.25899432705"/>
        <n v="3531.69624999999"/>
        <n v="3380.5549999999898"/>
        <n v="3338.1537499999899"/>
        <n v="3316.5174999999899"/>
        <n v="3621.4311912702601"/>
        <n v="3257.2262500000002"/>
        <n v="3100.4524999999999"/>
        <n v="3087.4043750000101"/>
        <n v="2993.31687500001"/>
        <n v="2975.2449999999999"/>
        <n v="30000"/>
        <n v="0"/>
        <n v="40000"/>
        <n v="2935.9987500000302"/>
        <n v="2876.8768750000299"/>
        <n v="2945.52453179446"/>
        <n v="2842.2018750000102"/>
        <n v="2832.5637500000298"/>
        <n v="15000"/>
        <n v="2737.46875000004"/>
        <n v="2719.3312500000302"/>
        <n v="2669.6881250000301"/>
        <n v="2798.5866312386902"/>
        <n v="2654.8225000000398"/>
        <n v="2622.6637500000302"/>
        <n v="2619.3712500000302"/>
        <n v="2575.72312500003"/>
        <n v="2376.7293750000499"/>
        <n v="2298.7218750000602"/>
        <n v="2293.16750000006"/>
        <n v="2284.9500000000799"/>
        <n v="2195.00875000009"/>
        <n v="2420.99275525554"/>
        <n v="2161.29437500008"/>
        <n v="2276.42326314815"/>
        <n v="2111.82812500006"/>
        <n v="2042.21750000006"/>
        <n v="2039.0137500000901"/>
        <n v="1990.50875000008"/>
        <n v="2116.05716109275"/>
        <n v="3750"/>
        <n v="1927.7881250000601"/>
        <n v="2284.9045422987601"/>
        <n v="1923.5106250000799"/>
        <n v="1894.4168750000599"/>
        <n v="1809.14812500005"/>
        <n v="1729.63375000008"/>
        <n v="1704.09937500005"/>
        <n v="1654.7593750000501"/>
        <n v="2500"/>
        <m/>
      </sharedItems>
    </cacheField>
    <cacheField name="Week 9/112" numFmtId="0">
      <sharedItems containsString="0" containsBlank="1" containsNumber="1" minValue="1654.7593750000501" maxValue="40000" count="81">
        <n v="27478.351874997101"/>
        <n v="13845.7749999998"/>
        <n v="12708.9198464808"/>
        <n v="11877.4018750001"/>
        <n v="10581.1831250002"/>
        <n v="8941.1731250004996"/>
        <n v="12500"/>
        <n v="8471.1275000004407"/>
        <n v="10000"/>
        <n v="8272.3100000002505"/>
        <n v="10101.1949865447"/>
        <n v="7842.7093750004997"/>
        <n v="8750"/>
        <n v="5000"/>
        <n v="7472.1522004619101"/>
        <n v="7680.2125968749997"/>
        <n v="6432.6500000003798"/>
        <n v="6322.6906250001903"/>
        <n v="6485.2269807345301"/>
        <n v="6506.3233436174296"/>
        <n v="6250"/>
        <n v="4904.3893750001298"/>
        <n v="4584.3218750000597"/>
        <n v="4298.9875000000102"/>
        <n v="4247.9768238166998"/>
        <n v="4157.0368749999898"/>
        <n v="4016.78812499999"/>
        <n v="4960.2719567765498"/>
        <n v="3726.8606249999798"/>
        <n v="3725.0256249999502"/>
        <n v="3599.8493749999898"/>
        <n v="3903.25899432705"/>
        <n v="3531.69624999999"/>
        <n v="3380.5549999999898"/>
        <n v="3338.1537499999899"/>
        <n v="3316.5174999999899"/>
        <n v="3621.4311912702601"/>
        <n v="3257.2262500000002"/>
        <n v="3100.4524999999999"/>
        <n v="3087.4043750000101"/>
        <n v="2993.31687500001"/>
        <n v="2975.2449999999999"/>
        <n v="3419.6719374999998"/>
        <n v="40000"/>
        <n v="2935.9987500000302"/>
        <n v="2876.8768750000299"/>
        <n v="2945.52453179446"/>
        <n v="2842.2018750000102"/>
        <n v="2832.5637500000298"/>
        <n v="2737.46875000004"/>
        <n v="2719.3312500000302"/>
        <n v="2669.6881250000301"/>
        <n v="2798.5866312386902"/>
        <n v="2654.8225000000398"/>
        <n v="2622.6637500000302"/>
        <n v="2619.3712500000302"/>
        <n v="2575.72312500003"/>
        <n v="2376.7293750000499"/>
        <n v="2298.7218750000602"/>
        <n v="2293.16750000006"/>
        <n v="2284.9500000000799"/>
        <n v="2195.00875000009"/>
        <n v="2420.99275525554"/>
        <n v="2161.29437500008"/>
        <n v="2276.42326314815"/>
        <n v="2111.82812500006"/>
        <n v="2042.21750000006"/>
        <n v="2039.0137500000901"/>
        <n v="1990.50875000008"/>
        <n v="2116.05716109275"/>
        <n v="3750"/>
        <n v="1927.7881250000601"/>
        <n v="2284.9045422987601"/>
        <n v="1923.5106250000799"/>
        <n v="1894.4168750000599"/>
        <n v="1809.14812500005"/>
        <n v="1729.63375000008"/>
        <n v="1704.09937500005"/>
        <n v="1654.7593750000501"/>
        <n v="2500"/>
        <m/>
      </sharedItems>
    </cacheField>
    <cacheField name="Week 9/182" numFmtId="0">
      <sharedItems containsString="0" containsBlank="1" containsNumber="1" minValue="1654.7593750000501" maxValue="27478.351874997101" count="83">
        <n v="27478.351874997101"/>
        <n v="13845.7749999998"/>
        <n v="12708.9198464808"/>
        <n v="11877.4018750001"/>
        <n v="10581.1831250002"/>
        <n v="8941.1731250004996"/>
        <n v="12500"/>
        <n v="8471.1275000004407"/>
        <n v="18500"/>
        <n v="10000"/>
        <n v="10500"/>
        <n v="10101.1949865447"/>
        <n v="7842.7093750004997"/>
        <n v="8750"/>
        <n v="5000"/>
        <n v="7472.1522004619201"/>
        <n v="7680.2125968749997"/>
        <n v="6432.6500000003798"/>
        <n v="14500"/>
        <n v="6485.2269807345301"/>
        <n v="6506.3233436174296"/>
        <n v="6250"/>
        <n v="4904.3893750001298"/>
        <n v="4584.3218750000597"/>
        <n v="4298.9875000000102"/>
        <n v="4247.9768238166998"/>
        <n v="4157.0368749999898"/>
        <n v="4016.78812499999"/>
        <n v="4960.2719567765498"/>
        <n v="3726.8606249999798"/>
        <n v="3725.0256249999502"/>
        <n v="3599.8493749999898"/>
        <n v="3903.25899432705"/>
        <n v="3531.69624999999"/>
        <n v="3380.5549999999898"/>
        <n v="3338.1537499999899"/>
        <n v="3316.5174999999899"/>
        <n v="3621.4311912702601"/>
        <n v="3257.2262500000002"/>
        <n v="3100.4524999999999"/>
        <n v="3087.4043750000101"/>
        <n v="4242.6635021043603"/>
        <n v="2993.31687500001"/>
        <n v="2975.2449999999999"/>
        <n v="3419.6719374999998"/>
        <n v="2935.9987500000302"/>
        <n v="2876.8768750000299"/>
        <n v="2945.52453179446"/>
        <n v="2842.2018750000102"/>
        <n v="2832.5637500000298"/>
        <n v="6550"/>
        <n v="2719.3312500000302"/>
        <n v="2669.6881250000301"/>
        <n v="2798.5866312386902"/>
        <n v="2654.8225000000398"/>
        <n v="2622.6637500000302"/>
        <n v="2619.3712500000302"/>
        <n v="2575.72312500002"/>
        <n v="2376.7293750000499"/>
        <n v="2298.7218750000602"/>
        <n v="2293.16750000006"/>
        <n v="2284.9500000000799"/>
        <n v="2195.00875000009"/>
        <n v="2420.99275525554"/>
        <n v="2161.29437500008"/>
        <n v="2276.42326314815"/>
        <n v="2111.82812500006"/>
        <n v="2042.21750000006"/>
        <n v="2039.0137500000901"/>
        <n v="1990.50875000008"/>
        <n v="2116.05716109275"/>
        <n v="3750"/>
        <n v="4750"/>
        <n v="1927.7881250000601"/>
        <n v="2284.9045422987601"/>
        <n v="1923.5106250000799"/>
        <n v="1894.4168750000599"/>
        <n v="1809.14812500005"/>
        <n v="1729.63375000008"/>
        <n v="1704.09937500005"/>
        <n v="1654.7593750000501"/>
        <n v="2500"/>
        <m/>
      </sharedItems>
    </cacheField>
    <cacheField name="Week 9/252" numFmtId="0">
      <sharedItems containsString="0" containsBlank="1" containsNumber="1" minValue="1678.3987946429099" maxValue="27870.899758925701" count="81">
        <n v="27870.899758925701"/>
        <n v="14043.571785714101"/>
        <n v="12890.475844287699"/>
        <n v="12047.0790446429"/>
        <n v="10732.342883928801"/>
        <n v="9068.9041696433596"/>
        <n v="11250"/>
        <n v="8592.1436071433"/>
        <n v="8497.1449732146593"/>
        <n v="10000"/>
        <n v="8750"/>
        <n v="10245.497772066699"/>
        <n v="7954.74808035765"/>
        <n v="5000"/>
        <n v="7578.89723189709"/>
        <n v="7789.9299196874999"/>
        <n v="6524.5450000003802"/>
        <n v="6413.0147767858998"/>
        <n v="6577.8730804592997"/>
        <n v="6599.2708199548297"/>
        <n v="6250"/>
        <n v="4974.4520803572595"/>
        <n v="4649.8121875000597"/>
        <n v="4360.4016071428596"/>
        <n v="4308.6622070140802"/>
        <n v="4216.4231160714098"/>
        <n v="4074.17081249998"/>
        <n v="5031.1329847304996"/>
        <n v="3780.1014910713998"/>
        <n v="3778.2402767856802"/>
        <n v="3651.2757946428401"/>
        <n v="3959.0198371031502"/>
        <n v="3582.1490535714101"/>
        <n v="3428.84864285713"/>
        <n v="3385.8416607142799"/>
        <n v="3363.89632142856"/>
        <n v="3673.16592257411"/>
        <n v="3303.7580535714301"/>
        <n v="3144.7446785714401"/>
        <n v="3131.5101517857302"/>
        <n v="4303.2729807058504"/>
        <n v="3036.0785446428799"/>
        <n v="3017.7485000000001"/>
        <n v="3468.5243937499999"/>
        <n v="2977.9415892857401"/>
        <n v="2917.97511607145"/>
        <n v="2987.6034536772399"/>
        <n v="2882.8047589285902"/>
        <n v="2873.0289464286002"/>
        <n v="2776.5754464286001"/>
        <n v="2758.1788392857402"/>
        <n v="2707.82652678575"/>
        <n v="2838.5664402563898"/>
        <n v="2692.74853571433"/>
        <n v="2660.1303750000402"/>
        <n v="2656.7908392857498"/>
        <n v="2612.5191696428901"/>
        <n v="2410.6826517857598"/>
        <n v="2331.5607589286401"/>
        <n v="2325.92703571434"/>
        <n v="2317.5921428572101"/>
        <n v="2226.36601785723"/>
        <n v="2455.5783660449101"/>
        <n v="2192.1700089286501"/>
        <n v="2308.9435954788401"/>
        <n v="2141.99709821435"/>
        <n v="2071.3920357143502"/>
        <n v="2068.1425178572399"/>
        <n v="2018.94458928579"/>
        <n v="2146.2865491083598"/>
        <n v="3750"/>
        <n v="1955.3279553572099"/>
        <n v="2317.5460357601801"/>
        <n v="1950.98934821436"/>
        <n v="1921.4799732143399"/>
        <n v="1834.9930982143301"/>
        <n v="1754.3428035715001"/>
        <n v="1728.44365178578"/>
        <n v="1678.3987946429099"/>
        <n v="2500"/>
        <m/>
      </sharedItems>
    </cacheField>
    <cacheField name="Week 8/283" numFmtId="0">
      <sharedItems containsString="0" containsBlank="1" containsNumber="1" minValue="0" maxValue="4579.7253124995204" count="80">
        <n v="4579.7253124995204"/>
        <n v="2307.6291666666398"/>
        <n v="2089.4790366533898"/>
        <n v="1979.5669791666801"/>
        <n v="1763.53052083336"/>
        <n v="1490.19552083342"/>
        <n v="1833.3333333333301"/>
        <n v="1411.8545833334099"/>
        <n v="1666.6666666666699"/>
        <n v="1501.7308918961"/>
        <n v="1307.1182291667501"/>
        <n v="1458.3333333333301"/>
        <n v="833.33333333333303"/>
        <n v="1219.5180738425599"/>
        <n v="1177.2491140625"/>
        <n v="1072.1083333334"/>
        <n v="1053.78177083336"/>
        <n v="1010.32972481439"/>
        <n v="1084.3872239362399"/>
        <n v="1041.6666666666699"/>
        <n v="817.398229166688"/>
        <n v="764.05364583334404"/>
        <n v="716.49791666666897"/>
        <n v="706.62358265357102"/>
        <n v="692.839479166665"/>
        <n v="669.46468749999804"/>
        <n v="719.32722310308498"/>
        <n v="621.14343749999603"/>
        <n v="620.83760416665802"/>
        <n v="599.97489583333095"/>
        <n v="617.50373769002704"/>
        <n v="588.61604166666496"/>
        <n v="563.42583333333096"/>
        <n v="556.35895833333097"/>
        <n v="552.75291666666499"/>
        <n v="570.17234699549397"/>
        <n v="542.87104166666495"/>
        <n v="516.74208333333297"/>
        <n v="514.56739583333501"/>
        <n v="498.88614583333498"/>
        <n v="495.87416666666701"/>
        <n v="0"/>
        <n v="489.33312500000397"/>
        <n v="479.47947916667101"/>
        <n v="482.74645465198802"/>
        <n v="473.70031250000198"/>
        <n v="472.09395833333701"/>
        <n v="2500"/>
        <n v="456.244791666673"/>
        <n v="453.22187500000399"/>
        <n v="444.94802083333798"/>
        <n v="454.01892604086299"/>
        <n v="442.47041666667297"/>
        <n v="437.11062500000401"/>
        <n v="436.56187500000402"/>
        <n v="429.28718750000399"/>
        <n v="396.121562500008"/>
        <n v="383.12031250001002"/>
        <n v="382.19458333334399"/>
        <n v="380.82500000001301"/>
        <n v="365.83479166668099"/>
        <n v="381.40710156587897"/>
        <n v="360.21572916667901"/>
        <n v="368.24963784392298"/>
        <n v="351.97135416667697"/>
        <n v="340.369583333344"/>
        <n v="339.835625000015"/>
        <n v="331.75145833334602"/>
        <n v="337.94872579234601"/>
        <n v="625"/>
        <n v="1095"/>
        <n v="321.29802083334403"/>
        <n v="346.56782444991899"/>
        <n v="320.585104166679"/>
        <n v="315.73614583334398"/>
        <n v="301.52468750000799"/>
        <n v="288.272291666679"/>
        <n v="284.01656250000798"/>
        <n v="275.79322916667502"/>
        <m/>
      </sharedItems>
    </cacheField>
    <cacheField name="Week 9/43" numFmtId="0">
      <sharedItems containsString="0" containsBlank="1" containsNumber="1" minValue="0" maxValue="6666.6666666666697" count="84">
        <n v="4579.7253124995204"/>
        <n v="2307.6291666666302"/>
        <n v="2118.1533077467898"/>
        <n v="1979.5669791666801"/>
        <n v="1763.53052083336"/>
        <n v="1490.19552083342"/>
        <n v="1875"/>
        <n v="1411.8545833334099"/>
        <n v="1396.2444791667299"/>
        <n v="1666.6666666666699"/>
        <n v="1378.7183333333801"/>
        <n v="1683.5324977574401"/>
        <n v="1307.1182291667501"/>
        <n v="1458.3333333333301"/>
        <n v="833.33333333333303"/>
        <n v="1245.3587000769901"/>
        <n v="1280.0354328124999"/>
        <n v="1072.1083333334"/>
        <n v="1053.78177083336"/>
        <n v="1080.8711634557501"/>
        <n v="1084.3872239362399"/>
        <n v="1041.6666666666699"/>
        <n v="817.398229166688"/>
        <n v="764.05364583334404"/>
        <n v="716.49791666666897"/>
        <n v="707.99613730278304"/>
        <n v="692.839479166665"/>
        <n v="669.46468749999804"/>
        <n v="826.71199279609198"/>
        <n v="621.14343749999603"/>
        <n v="620.83760416665802"/>
        <n v="599.97489583333095"/>
        <n v="650.543165721175"/>
        <n v="588.61604166666496"/>
        <n v="563.42583333333096"/>
        <n v="556.35895833333097"/>
        <n v="552.75291666666499"/>
        <n v="603.57186521171002"/>
        <n v="542.871041666667"/>
        <n v="516.74208333333297"/>
        <n v="514.56739583333501"/>
        <n v="498.88614583333498"/>
        <n v="495.87416666666701"/>
        <n v="5000"/>
        <n v="0"/>
        <n v="6666.6666666666697"/>
        <n v="489.33312500000397"/>
        <n v="479.47947916667101"/>
        <n v="490.92075529907697"/>
        <n v="473.70031250000198"/>
        <n v="472.09395833333701"/>
        <n v="2500"/>
        <n v="456.244791666673"/>
        <n v="453.22187500000399"/>
        <n v="444.94802083333798"/>
        <n v="466.43110520644802"/>
        <n v="442.47041666667297"/>
        <n v="437.11062500000401"/>
        <n v="436.56187500000402"/>
        <n v="429.28718750000399"/>
        <n v="396.121562500008"/>
        <n v="383.12031250001002"/>
        <n v="382.19458333334399"/>
        <n v="380.82500000001301"/>
        <n v="365.83479166668099"/>
        <n v="403.49879254259002"/>
        <n v="360.21572916667901"/>
        <n v="379.40387719135799"/>
        <n v="351.97135416667697"/>
        <n v="340.369583333344"/>
        <n v="339.835625000015"/>
        <n v="331.75145833334602"/>
        <n v="352.67619351545801"/>
        <n v="625"/>
        <n v="321.29802083334403"/>
        <n v="380.81742371645998"/>
        <n v="320.585104166679"/>
        <n v="315.73614583334398"/>
        <n v="301.52468750000799"/>
        <n v="288.272291666679"/>
        <n v="284.01656250000798"/>
        <n v="275.79322916667502"/>
        <n v="416.66666666666703"/>
        <m/>
      </sharedItems>
    </cacheField>
    <cacheField name="Week 9/113" numFmtId="0">
      <sharedItems containsString="0" containsBlank="1" containsNumber="1" minValue="275.79322916667502" maxValue="6666.6666666666697" count="81">
        <n v="4579.7253124995204"/>
        <n v="2307.6291666666398"/>
        <n v="2118.1533077467998"/>
        <n v="1979.5669791666801"/>
        <n v="1763.53052083336"/>
        <n v="1490.19552083342"/>
        <n v="2083.3333333333298"/>
        <n v="1411.8545833334099"/>
        <n v="1666.6666666666699"/>
        <n v="1378.7183333333801"/>
        <n v="1683.5324977574401"/>
        <n v="1307.1182291667501"/>
        <n v="1458.3333333333301"/>
        <n v="833.33333333333303"/>
        <n v="1245.3587000769901"/>
        <n v="1280.0354328124999"/>
        <n v="1072.1083333334"/>
        <n v="1053.78177083336"/>
        <n v="1080.8711634557501"/>
        <n v="1084.3872239362399"/>
        <n v="1041.6666666666699"/>
        <n v="817.398229166688"/>
        <n v="764.05364583334404"/>
        <n v="716.49791666666897"/>
        <n v="707.99613730278304"/>
        <n v="692.839479166665"/>
        <n v="669.46468749999804"/>
        <n v="826.71199279609198"/>
        <n v="621.14343749999603"/>
        <n v="620.83760416665802"/>
        <n v="599.97489583333095"/>
        <n v="650.543165721175"/>
        <n v="588.61604166666496"/>
        <n v="563.42583333333096"/>
        <n v="556.35895833333097"/>
        <n v="552.75291666666499"/>
        <n v="603.57186521171002"/>
        <n v="542.871041666667"/>
        <n v="516.74208333333297"/>
        <n v="514.56739583333501"/>
        <n v="498.88614583333498"/>
        <n v="495.87416666666701"/>
        <n v="569.94532291666701"/>
        <n v="6666.6666666666697"/>
        <n v="489.33312500000397"/>
        <n v="479.47947916667101"/>
        <n v="490.92075529907697"/>
        <n v="473.70031250000198"/>
        <n v="472.09395833333701"/>
        <n v="456.244791666673"/>
        <n v="453.22187500000399"/>
        <n v="444.94802083333798"/>
        <n v="466.43110520644802"/>
        <n v="442.47041666667297"/>
        <n v="437.11062500000401"/>
        <n v="436.56187500000402"/>
        <n v="429.28718750000399"/>
        <n v="396.121562500008"/>
        <n v="383.12031250001002"/>
        <n v="382.19458333334399"/>
        <n v="380.82500000001301"/>
        <n v="365.83479166668099"/>
        <n v="403.49879254259002"/>
        <n v="360.21572916667901"/>
        <n v="379.40387719135799"/>
        <n v="351.97135416667697"/>
        <n v="340.369583333344"/>
        <n v="339.835625000015"/>
        <n v="331.75145833334602"/>
        <n v="352.67619351545801"/>
        <n v="625"/>
        <n v="321.29802083334403"/>
        <n v="380.81742371645998"/>
        <n v="320.585104166679"/>
        <n v="315.73614583334398"/>
        <n v="301.52468750000799"/>
        <n v="288.272291666679"/>
        <n v="284.01656250000798"/>
        <n v="275.79322916667502"/>
        <n v="416.66666666666703"/>
        <m/>
      </sharedItems>
    </cacheField>
    <cacheField name="Week 9/183" numFmtId="0">
      <sharedItems containsString="0" containsBlank="1" containsNumber="1" minValue="275.79322916667502" maxValue="4579.7253124995204" count="83">
        <n v="4579.7253124995204"/>
        <n v="2307.6291666666398"/>
        <n v="2118.1533077467998"/>
        <n v="1979.5669791666801"/>
        <n v="1763.53052083336"/>
        <n v="1490.19552083342"/>
        <n v="2083.3333333333298"/>
        <n v="1411.8545833334099"/>
        <n v="3083.3333333333298"/>
        <n v="1666.6666666666699"/>
        <n v="1750"/>
        <n v="1683.5324977574401"/>
        <n v="1307.1182291667501"/>
        <n v="1458.3333333333301"/>
        <n v="833.33333333333303"/>
        <n v="1245.3587000769901"/>
        <n v="1280.0354328124999"/>
        <n v="1072.1083333334"/>
        <n v="2416.6666666666702"/>
        <n v="1080.8711634557501"/>
        <n v="1084.3872239362399"/>
        <n v="1041.6666666666699"/>
        <n v="817.398229166688"/>
        <n v="764.05364583334404"/>
        <n v="716.49791666666897"/>
        <n v="707.99613730278304"/>
        <n v="692.839479166665"/>
        <n v="669.46468749999804"/>
        <n v="826.71199279609198"/>
        <n v="621.14343749999603"/>
        <n v="620.83760416665802"/>
        <n v="599.97489583333095"/>
        <n v="650.543165721175"/>
        <n v="588.61604166666496"/>
        <n v="563.42583333333096"/>
        <n v="556.35895833333097"/>
        <n v="552.75291666666499"/>
        <n v="603.57186521171002"/>
        <n v="542.871041666667"/>
        <n v="516.74208333333297"/>
        <n v="514.56739583333501"/>
        <n v="707.11058368405997"/>
        <n v="498.88614583333498"/>
        <n v="495.87416666666701"/>
        <n v="569.94532291666701"/>
        <n v="489.33312500000397"/>
        <n v="479.47947916667101"/>
        <n v="490.92075529907697"/>
        <n v="473.70031250000198"/>
        <n v="472.09395833333701"/>
        <n v="1091.6666666666699"/>
        <n v="453.22187500000399"/>
        <n v="444.94802083333798"/>
        <n v="466.43110520644802"/>
        <n v="442.47041666667297"/>
        <n v="437.11062500000497"/>
        <n v="436.56187500000499"/>
        <n v="429.28718750000297"/>
        <n v="396.121562500008"/>
        <n v="383.12031250001002"/>
        <n v="382.19458333334399"/>
        <n v="380.82500000001301"/>
        <n v="365.83479166668099"/>
        <n v="403.49879254259002"/>
        <n v="360.21572916667901"/>
        <n v="379.40387719135799"/>
        <n v="351.97135416667697"/>
        <n v="340.369583333344"/>
        <n v="339.835625000015"/>
        <n v="331.75145833334602"/>
        <n v="352.67619351545801"/>
        <n v="625"/>
        <n v="791.66666666666697"/>
        <n v="321.29802083334403"/>
        <n v="380.81742371645998"/>
        <n v="320.585104166679"/>
        <n v="315.73614583334398"/>
        <n v="301.52468750000799"/>
        <n v="288.272291666679"/>
        <n v="284.01656250000798"/>
        <n v="275.79322916667502"/>
        <n v="416.66666666666703"/>
        <m/>
      </sharedItems>
    </cacheField>
    <cacheField name="Week 9/253" numFmtId="0">
      <sharedItems containsString="0" containsBlank="1" containsNumber="1" minValue="279.73313244048501" maxValue="4645.1499598209402" count="81">
        <n v="4645.1499598209402"/>
        <n v="2340.5952976190201"/>
        <n v="2148.41264071461"/>
        <n v="2007.8465074404901"/>
        <n v="1788.7238139881299"/>
        <n v="1511.4840282738901"/>
        <n v="1875"/>
        <n v="1432.0239345238799"/>
        <n v="1416.19082886911"/>
        <n v="1666.6666666666699"/>
        <n v="1458.3333333333301"/>
        <n v="1707.5829620111199"/>
        <n v="1325.7913467262799"/>
        <n v="833.33333333333303"/>
        <n v="1263.1495386495101"/>
        <n v="1298.3216532812501"/>
        <n v="1087.4241666667299"/>
        <n v="1068.83579613098"/>
        <n v="1096.31218007655"/>
        <n v="1099.8784699924699"/>
        <n v="1041.6666666666699"/>
        <n v="829.07534672621"/>
        <n v="774.968697916677"/>
        <n v="726.73360119047697"/>
        <n v="718.11036783567897"/>
        <n v="702.73718601190205"/>
        <n v="679.02846874999602"/>
        <n v="838.52216412175005"/>
        <n v="630.01691517856705"/>
        <n v="629.70671279761302"/>
        <n v="608.54596577380596"/>
        <n v="659.836639517192"/>
        <n v="597.02484226190199"/>
        <n v="571.47477380952103"/>
        <n v="564.30694345237896"/>
        <n v="560.64938690476095"/>
        <n v="612.19432042901894"/>
        <n v="550.62634226190403"/>
        <n v="524.12411309523998"/>
        <n v="521.918358630954"/>
        <n v="717.21216345097503"/>
        <n v="506.01309077381302"/>
        <n v="502.95808333333298"/>
        <n v="578.08739895833298"/>
        <n v="496.32359821428997"/>
        <n v="486.32918601190801"/>
        <n v="497.93390894620597"/>
        <n v="480.46745982143102"/>
        <n v="478.83815773809999"/>
        <n v="462.76257440476701"/>
        <n v="459.69647321428999"/>
        <n v="451.30442113095802"/>
        <n v="473.09440670939802"/>
        <n v="448.791422619054"/>
        <n v="443.355062500006"/>
        <n v="442.79847321429202"/>
        <n v="435.41986160714799"/>
        <n v="401.78044196429403"/>
        <n v="388.59345982143998"/>
        <n v="387.65450595239002"/>
        <n v="386.26535714286899"/>
        <n v="371.06100297620401"/>
        <n v="409.26306100748502"/>
        <n v="365.36166815477497"/>
        <n v="384.82393257980601"/>
        <n v="356.99951636905797"/>
        <n v="345.232005952392"/>
        <n v="344.690419642873"/>
        <n v="336.490764880965"/>
        <n v="357.71442485139403"/>
        <n v="625"/>
        <n v="325.88799255953501"/>
        <n v="386.25767262669598"/>
        <n v="325.16489136906"/>
        <n v="320.24666220238998"/>
        <n v="305.83218303572102"/>
        <n v="292.39046726191702"/>
        <n v="288.07394196429601"/>
        <n v="279.73313244048501"/>
        <n v="416.66666666666703"/>
        <m/>
      </sharedItems>
    </cacheField>
    <cacheField name="Week 8/284" numFmtId="0">
      <sharedItems containsString="0" containsBlank="1" containsNumber="1" minValue="0" maxValue="22.898626562497601" count="80">
        <n v="22.898626562497601"/>
        <n v="11.5381458333332"/>
        <n v="10.447395183267"/>
        <n v="9.8978348958333893"/>
        <n v="8.8176526041668204"/>
        <n v="7.4509776041670799"/>
        <n v="9.1666666666666696"/>
        <n v="7.0592729166670303"/>
        <n v="8.3333333333333304"/>
        <n v="7.5086544594804998"/>
        <n v="6.5355911458337497"/>
        <n v="7.2916666666666696"/>
        <n v="4.1666666666666696"/>
        <n v="6.0975903692128002"/>
        <n v="5.8862455703125001"/>
        <n v="5.3605416666669798"/>
        <n v="5.2689088541668196"/>
        <n v="5.0516486240719702"/>
        <n v="5.4219361196811899"/>
        <n v="5.2083333333333304"/>
        <n v="4.0869911458334398"/>
        <n v="3.8202682291667198"/>
        <n v="3.5824895833333401"/>
        <n v="3.5331179132678501"/>
        <n v="3.4641973958333199"/>
        <n v="3.3473234374999898"/>
        <n v="3.5966361155154298"/>
        <n v="3.1057171874999798"/>
        <n v="3.1041880208332899"/>
        <n v="2.9998744791666598"/>
        <n v="3.0875186884501402"/>
        <n v="2.9430802083333201"/>
        <n v="2.81712916666666"/>
        <n v="2.7817947916666599"/>
        <n v="2.76376458333332"/>
        <n v="2.8508617349774701"/>
        <n v="2.7143552083333198"/>
        <n v="2.58371041666667"/>
        <n v="2.5728369791666799"/>
        <n v="2.4944307291666798"/>
        <n v="2.4793708333333302"/>
        <n v="0"/>
        <n v="2.4466656250000201"/>
        <n v="2.3973973958333499"/>
        <n v="2.41373227325994"/>
        <n v="2.3685015625000099"/>
        <n v="2.3604697916666901"/>
        <n v="12.5"/>
        <n v="2.28122395833336"/>
        <n v="2.2661093750000201"/>
        <n v="2.2247401041666901"/>
        <n v="2.2700946302043099"/>
        <n v="2.2123520833333599"/>
        <n v="2.1855531250000202"/>
        <n v="2.1828093750000201"/>
        <n v="2.1464359375000202"/>
        <n v="1.9806078125000399"/>
        <n v="1.91560156250005"/>
        <n v="1.91097291666672"/>
        <n v="1.90412500000006"/>
        <n v="1.8291739583334099"/>
        <n v="1.9070355078293999"/>
        <n v="1.8010786458334"/>
        <n v="1.84124818921961"/>
        <n v="1.7598567708333901"/>
        <n v="1.70184791666672"/>
        <n v="1.6991781250000699"/>
        <n v="1.6587572916667299"/>
        <n v="1.68974362896173"/>
        <n v="3.125"/>
        <n v="5.4749999999999996"/>
        <n v="1.6064901041667199"/>
        <n v="1.73283912224959"/>
        <n v="1.6029255208333999"/>
        <n v="1.57868072916672"/>
        <n v="1.5076234375000399"/>
        <n v="1.4413614583334"/>
        <n v="1.42008281250004"/>
        <n v="1.37896614583338"/>
        <m/>
      </sharedItems>
    </cacheField>
    <cacheField name="Week 9/44" numFmtId="0">
      <sharedItems containsString="0" containsBlank="1" containsNumber="1" minValue="0" maxValue="33.3333333333333" count="84">
        <n v="22.898626562497601"/>
        <n v="11.5381458333331"/>
        <n v="10.590766538734"/>
        <n v="9.8978348958333893"/>
        <n v="8.8176526041668204"/>
        <n v="7.4509776041670799"/>
        <n v="9.375"/>
        <n v="7.0592729166670303"/>
        <n v="6.9812223958336501"/>
        <n v="8.3333333333333304"/>
        <n v="6.8935916666668797"/>
        <n v="8.4176624887872205"/>
        <n v="6.5355911458337497"/>
        <n v="7.2916666666666696"/>
        <n v="4.1666666666666696"/>
        <n v="6.2267935003849297"/>
        <n v="6.4001771640624998"/>
        <n v="5.3605416666669798"/>
        <n v="5.2689088541668196"/>
        <n v="5.4043558172787698"/>
        <n v="5.4219361196811899"/>
        <n v="5.2083333333333304"/>
        <n v="4.0869911458334398"/>
        <n v="3.8202682291667198"/>
        <n v="3.5824895833333401"/>
        <n v="3.5399806865139198"/>
        <n v="3.4641973958333199"/>
        <n v="3.3473234374999898"/>
        <n v="4.1335599639804599"/>
        <n v="3.1057171874999798"/>
        <n v="3.1041880208332899"/>
        <n v="2.9998744791666598"/>
        <n v="3.2527158286058802"/>
        <n v="2.9430802083333201"/>
        <n v="2.81712916666666"/>
        <n v="2.7817947916666599"/>
        <n v="2.76376458333332"/>
        <n v="3.01785932605855"/>
        <n v="2.71435520833333"/>
        <n v="2.58371041666667"/>
        <n v="2.5728369791666799"/>
        <n v="2.4944307291666798"/>
        <n v="2.4793708333333302"/>
        <n v="25"/>
        <n v="0"/>
        <n v="33.3333333333333"/>
        <n v="2.4466656250000201"/>
        <n v="2.3973973958333499"/>
        <n v="2.4546037764953899"/>
        <n v="2.3685015625000099"/>
        <n v="2.3604697916666901"/>
        <n v="12.5"/>
        <n v="2.28122395833336"/>
        <n v="2.2661093750000201"/>
        <n v="2.2247401041666901"/>
        <n v="2.3321555260322402"/>
        <n v="2.2123520833333599"/>
        <n v="2.1855531250000202"/>
        <n v="2.1828093750000201"/>
        <n v="2.1464359375000202"/>
        <n v="1.9806078125000399"/>
        <n v="1.91560156250005"/>
        <n v="1.91097291666672"/>
        <n v="1.90412500000006"/>
        <n v="1.8291739583334099"/>
        <n v="2.0174939627129498"/>
        <n v="1.8010786458334"/>
        <n v="1.8970193859567901"/>
        <n v="1.7598567708333901"/>
        <n v="1.70184791666672"/>
        <n v="1.6991781250000699"/>
        <n v="1.6587572916667299"/>
        <n v="1.76338096757729"/>
        <n v="3.125"/>
        <n v="1.6064901041667199"/>
        <n v="1.9040871185823001"/>
        <n v="1.6029255208333999"/>
        <n v="1.57868072916672"/>
        <n v="1.5076234375000399"/>
        <n v="1.4413614583334"/>
        <n v="1.42008281250004"/>
        <n v="1.37896614583338"/>
        <n v="2.0833333333333299"/>
        <m/>
      </sharedItems>
    </cacheField>
    <cacheField name="Week 9/114" numFmtId="0">
      <sharedItems containsString="0" containsBlank="1" containsNumber="1" minValue="1.37896614583338" maxValue="33.3333333333333" count="81">
        <n v="22.898626562497601"/>
        <n v="11.5381458333332"/>
        <n v="10.590766538734"/>
        <n v="9.8978348958333893"/>
        <n v="8.8176526041668204"/>
        <n v="7.4509776041670799"/>
        <n v="10.4166666666667"/>
        <n v="7.0592729166670303"/>
        <n v="8.3333333333333304"/>
        <n v="6.8935916666668797"/>
        <n v="8.4176624887872205"/>
        <n v="6.5355911458337497"/>
        <n v="7.2916666666666696"/>
        <n v="4.1666666666666696"/>
        <n v="6.2267935003849297"/>
        <n v="6.4001771640624998"/>
        <n v="5.3605416666669798"/>
        <n v="5.2689088541668196"/>
        <n v="5.4043558172787698"/>
        <n v="5.4219361196811899"/>
        <n v="5.2083333333333304"/>
        <n v="4.0869911458334398"/>
        <n v="3.8202682291667198"/>
        <n v="3.5824895833333401"/>
        <n v="3.5399806865139198"/>
        <n v="3.4641973958333199"/>
        <n v="3.3473234374999898"/>
        <n v="4.1335599639804599"/>
        <n v="3.1057171874999798"/>
        <n v="3.1041880208332899"/>
        <n v="2.9998744791666598"/>
        <n v="3.2527158286058802"/>
        <n v="2.9430802083333201"/>
        <n v="2.81712916666666"/>
        <n v="2.7817947916666599"/>
        <n v="2.76376458333332"/>
        <n v="3.01785932605855"/>
        <n v="2.71435520833333"/>
        <n v="2.58371041666667"/>
        <n v="2.5728369791666799"/>
        <n v="2.4944307291666798"/>
        <n v="2.4793708333333302"/>
        <n v="2.84972661458333"/>
        <n v="33.3333333333333"/>
        <n v="2.4466656250000201"/>
        <n v="2.3973973958333499"/>
        <n v="2.4546037764953899"/>
        <n v="2.3685015625000099"/>
        <n v="2.3604697916666901"/>
        <n v="2.28122395833336"/>
        <n v="2.2661093750000201"/>
        <n v="2.2247401041666901"/>
        <n v="2.3321555260322402"/>
        <n v="2.2123520833333599"/>
        <n v="2.1855531250000202"/>
        <n v="2.1828093750000201"/>
        <n v="2.1464359375000202"/>
        <n v="1.9806078125000399"/>
        <n v="1.91560156250005"/>
        <n v="1.91097291666672"/>
        <n v="1.90412500000006"/>
        <n v="1.8291739583334099"/>
        <n v="2.0174939627129498"/>
        <n v="1.8010786458334"/>
        <n v="1.8970193859567901"/>
        <n v="1.7598567708333901"/>
        <n v="1.70184791666672"/>
        <n v="1.6991781250000699"/>
        <n v="1.6587572916667299"/>
        <n v="1.76338096757729"/>
        <n v="3.125"/>
        <n v="1.6064901041667199"/>
        <n v="1.9040871185823001"/>
        <n v="1.6029255208333999"/>
        <n v="1.57868072916672"/>
        <n v="1.5076234375000399"/>
        <n v="1.4413614583334"/>
        <n v="1.42008281250004"/>
        <n v="1.37896614583338"/>
        <n v="2.0833333333333299"/>
        <m/>
      </sharedItems>
    </cacheField>
    <cacheField name="Week 9/184" numFmtId="0">
      <sharedItems containsString="0" containsBlank="1" containsNumber="1" minValue="1.37896614583338" maxValue="22.898626562497601" count="83">
        <n v="22.898626562497601"/>
        <n v="11.5381458333332"/>
        <n v="10.590766538734"/>
        <n v="9.8978348958333893"/>
        <n v="8.8176526041668204"/>
        <n v="7.4509776041670799"/>
        <n v="10.4166666666667"/>
        <n v="7.0592729166670303"/>
        <n v="15.4166666666667"/>
        <n v="8.3333333333333304"/>
        <n v="8.75"/>
        <n v="8.4176624887872205"/>
        <n v="6.5355911458337497"/>
        <n v="7.2916666666666696"/>
        <n v="4.1666666666666696"/>
        <n v="6.2267935003849297"/>
        <n v="6.4001771640624998"/>
        <n v="5.3605416666669798"/>
        <n v="12.0833333333333"/>
        <n v="5.4043558172787698"/>
        <n v="5.4219361196811899"/>
        <n v="5.2083333333333304"/>
        <n v="4.0869911458334398"/>
        <n v="3.8202682291667198"/>
        <n v="3.5824895833333401"/>
        <n v="3.5399806865139198"/>
        <n v="3.4641973958333199"/>
        <n v="3.3473234374999898"/>
        <n v="4.1335599639804599"/>
        <n v="3.1057171874999798"/>
        <n v="3.1041880208332899"/>
        <n v="2.9998744791666598"/>
        <n v="3.2527158286058802"/>
        <n v="2.9430802083333201"/>
        <n v="2.81712916666666"/>
        <n v="2.7817947916666599"/>
        <n v="2.76376458333332"/>
        <n v="3.01785932605855"/>
        <n v="2.71435520833333"/>
        <n v="2.58371041666667"/>
        <n v="2.5728369791666799"/>
        <n v="3.5355529184202998"/>
        <n v="2.4944307291666798"/>
        <n v="2.4793708333333302"/>
        <n v="2.84972661458333"/>
        <n v="2.4466656250000201"/>
        <n v="2.3973973958333499"/>
        <n v="2.4546037764953899"/>
        <n v="2.3685015625000099"/>
        <n v="2.3604697916666901"/>
        <n v="5.4583333333333304"/>
        <n v="2.2661093750000201"/>
        <n v="2.2247401041666901"/>
        <n v="2.3321555260322402"/>
        <n v="2.2123520833333599"/>
        <n v="2.18555312500003"/>
        <n v="2.1828093750000299"/>
        <n v="2.1464359375000202"/>
        <n v="1.9806078125000399"/>
        <n v="1.91560156250005"/>
        <n v="1.91097291666672"/>
        <n v="1.90412500000006"/>
        <n v="1.8291739583334099"/>
        <n v="2.0174939627129498"/>
        <n v="1.8010786458334"/>
        <n v="1.8970193859567901"/>
        <n v="1.7598567708333901"/>
        <n v="1.70184791666672"/>
        <n v="1.6991781250000699"/>
        <n v="1.6587572916667299"/>
        <n v="1.76338096757729"/>
        <n v="3.125"/>
        <n v="3.9583333333333299"/>
        <n v="1.6064901041667199"/>
        <n v="1.9040871185823001"/>
        <n v="1.6029255208333999"/>
        <n v="1.57868072916672"/>
        <n v="1.5076234375000399"/>
        <n v="1.4413614583334"/>
        <n v="1.42008281250004"/>
        <n v="1.37896614583338"/>
        <n v="2.0833333333333299"/>
        <m/>
      </sharedItems>
    </cacheField>
    <cacheField name="Week 9/254" numFmtId="0">
      <sharedItems containsString="0" containsBlank="1" containsNumber="1" minValue="1.39866566220243" maxValue="23.225749799104701" count="81">
        <n v="23.225749799104701"/>
        <n v="11.7029764880951"/>
        <n v="10.7420632035731"/>
        <n v="10.0392325372024"/>
        <n v="8.9436190699406399"/>
        <n v="7.5574201413694704"/>
        <n v="9.375"/>
        <n v="7.1601196726194196"/>
        <n v="7.0809541443455499"/>
        <n v="8.3333333333333304"/>
        <n v="7.2916666666666696"/>
        <n v="8.5379148100556002"/>
        <n v="6.6289567336313802"/>
        <n v="4.1666666666666696"/>
        <n v="6.3157476932475696"/>
        <n v="6.4916082664062502"/>
        <n v="5.4371208333336503"/>
        <n v="5.3441789806549203"/>
        <n v="5.4815609003827497"/>
        <n v="5.49939234996235"/>
        <n v="5.2083333333333304"/>
        <n v="4.1453767336310499"/>
        <n v="3.8748434895833901"/>
        <n v="3.6336680059523898"/>
        <n v="3.5905518391784002"/>
        <n v="3.51368593005951"/>
        <n v="3.3951423437499799"/>
        <n v="4.19261082060875"/>
        <n v="3.15008457589283"/>
        <n v="3.1485335639880598"/>
        <n v="3.0427298288690299"/>
        <n v="3.2991831975859598"/>
        <n v="2.9851242113095098"/>
        <n v="2.8573738690476"/>
        <n v="2.8215347172618999"/>
        <n v="2.8032469345237998"/>
        <n v="3.0609716021450901"/>
        <n v="2.7531317113095199"/>
        <n v="2.6206205654761998"/>
        <n v="2.6095917931547699"/>
        <n v="3.58606081725488"/>
        <n v="2.5300654538690601"/>
        <n v="2.5147904166666701"/>
        <n v="2.8904369947916702"/>
        <n v="2.4816179910714502"/>
        <n v="2.4316459300595401"/>
        <n v="2.4896695447310302"/>
        <n v="2.4023372991071601"/>
        <n v="2.3941907886905001"/>
        <n v="2.31381287202383"/>
        <n v="2.29848236607145"/>
        <n v="2.2565221056547902"/>
        <n v="2.3654720335469901"/>
        <n v="2.24395711309527"/>
        <n v="2.21677531250003"/>
        <n v="2.21399236607146"/>
        <n v="2.1770993080357401"/>
        <n v="2.0089022098214699"/>
        <n v="1.9429672991072"/>
        <n v="1.9382725297619501"/>
        <n v="1.9313267857143399"/>
        <n v="1.85530501488102"/>
        <n v="2.0463153050374299"/>
        <n v="1.82680834077388"/>
        <n v="1.92411966289903"/>
        <n v="1.7849975818452899"/>
        <n v="1.7261600297619599"/>
        <n v="1.72345209821436"/>
        <n v="1.6824538244048199"/>
        <n v="1.7885721242569701"/>
        <n v="3.125"/>
        <n v="1.6294399627976801"/>
        <n v="1.9312883631334801"/>
        <n v="1.6258244568453"/>
        <n v="1.6012333110119501"/>
        <n v="1.5291609151786001"/>
        <n v="1.4619523363095801"/>
        <n v="1.44036970982148"/>
        <n v="1.39866566220243"/>
        <n v="2.08333333333332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1"/>
    <x v="1"/>
    <x v="0"/>
    <x v="0"/>
    <x v="0"/>
    <x v="1"/>
    <x v="1"/>
    <x v="1"/>
    <x v="1"/>
    <x v="0"/>
    <x v="0"/>
    <x v="0"/>
    <x v="0"/>
    <x v="0"/>
    <x v="1"/>
    <x v="1"/>
    <x v="1"/>
    <x v="1"/>
    <x v="1"/>
    <x v="0"/>
    <x v="0"/>
    <x v="0"/>
    <x v="1"/>
    <x v="1"/>
    <x v="1"/>
    <x v="1"/>
    <x v="1"/>
    <x v="1"/>
    <x v="0"/>
    <x v="0"/>
    <x v="1"/>
    <x v="1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2"/>
    <x v="2"/>
    <x v="1"/>
    <x v="1"/>
    <x v="2"/>
    <x v="2"/>
    <x v="1"/>
    <x v="1"/>
    <x v="0"/>
    <x v="2"/>
    <x v="2"/>
    <x v="2"/>
    <x v="2"/>
    <x v="0"/>
    <x v="1"/>
    <x v="0"/>
    <x v="0"/>
    <x v="0"/>
    <x v="2"/>
    <x v="2"/>
    <x v="2"/>
    <x v="2"/>
    <x v="2"/>
    <x v="0"/>
    <x v="0"/>
    <x v="0"/>
    <x v="2"/>
    <x v="2"/>
    <x v="2"/>
    <x v="2"/>
    <x v="2"/>
    <x v="2"/>
    <x v="0"/>
    <x v="0"/>
    <x v="2"/>
    <x v="2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3"/>
    <x v="3"/>
    <x v="2"/>
    <x v="2"/>
    <x v="3"/>
    <x v="3"/>
    <x v="2"/>
    <x v="2"/>
    <x v="1"/>
    <x v="3"/>
    <x v="3"/>
    <x v="3"/>
    <x v="3"/>
    <x v="1"/>
    <x v="2"/>
    <x v="0"/>
    <x v="0"/>
    <x v="0"/>
    <x v="3"/>
    <x v="3"/>
    <x v="3"/>
    <x v="3"/>
    <x v="3"/>
    <x v="0"/>
    <x v="0"/>
    <x v="0"/>
    <x v="3"/>
    <x v="3"/>
    <x v="3"/>
    <x v="3"/>
    <x v="3"/>
    <x v="3"/>
    <x v="0"/>
    <x v="0"/>
    <x v="3"/>
    <x v="3"/>
    <x v="0"/>
    <x v="0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0"/>
    <x v="4"/>
    <x v="4"/>
    <x v="1"/>
    <x v="1"/>
    <x v="2"/>
    <x v="4"/>
    <x v="0"/>
    <x v="1"/>
    <x v="0"/>
    <x v="4"/>
    <x v="4"/>
    <x v="4"/>
    <x v="4"/>
    <x v="0"/>
    <x v="0"/>
    <x v="0"/>
    <x v="0"/>
    <x v="0"/>
    <x v="4"/>
    <x v="4"/>
    <x v="4"/>
    <x v="4"/>
    <x v="4"/>
    <x v="0"/>
    <x v="0"/>
    <x v="0"/>
    <x v="4"/>
    <x v="4"/>
    <x v="4"/>
    <x v="4"/>
    <x v="4"/>
    <x v="4"/>
    <x v="0"/>
    <x v="0"/>
    <x v="4"/>
    <x v="4"/>
    <x v="0"/>
    <x v="0"/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0"/>
    <x v="5"/>
    <x v="5"/>
    <x v="0"/>
    <x v="0"/>
    <x v="1"/>
    <x v="5"/>
    <x v="2"/>
    <x v="0"/>
    <x v="0"/>
    <x v="5"/>
    <x v="5"/>
    <x v="5"/>
    <x v="5"/>
    <x v="2"/>
    <x v="2"/>
    <x v="0"/>
    <x v="0"/>
    <x v="0"/>
    <x v="5"/>
    <x v="5"/>
    <x v="5"/>
    <x v="5"/>
    <x v="5"/>
    <x v="0"/>
    <x v="0"/>
    <x v="0"/>
    <x v="5"/>
    <x v="5"/>
    <x v="5"/>
    <x v="5"/>
    <x v="5"/>
    <x v="5"/>
    <x v="0"/>
    <x v="0"/>
    <x v="5"/>
    <x v="5"/>
    <x v="0"/>
    <x v="0"/>
    <x v="0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0"/>
    <x v="6"/>
    <x v="6"/>
    <x v="0"/>
    <x v="0"/>
    <x v="4"/>
    <x v="0"/>
    <x v="1"/>
    <x v="1"/>
    <x v="0"/>
    <x v="6"/>
    <x v="6"/>
    <x v="6"/>
    <x v="0"/>
    <x v="3"/>
    <x v="1"/>
    <x v="0"/>
    <x v="0"/>
    <x v="0"/>
    <x v="6"/>
    <x v="6"/>
    <x v="6"/>
    <x v="6"/>
    <x v="6"/>
    <x v="0"/>
    <x v="0"/>
    <x v="0"/>
    <x v="6"/>
    <x v="6"/>
    <x v="6"/>
    <x v="6"/>
    <x v="6"/>
    <x v="6"/>
    <x v="0"/>
    <x v="0"/>
    <x v="6"/>
    <x v="6"/>
    <x v="0"/>
    <x v="0"/>
    <x v="0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0"/>
    <x v="7"/>
    <x v="7"/>
    <x v="2"/>
    <x v="3"/>
    <x v="5"/>
    <x v="6"/>
    <x v="0"/>
    <x v="1"/>
    <x v="1"/>
    <x v="7"/>
    <x v="7"/>
    <x v="7"/>
    <x v="6"/>
    <x v="4"/>
    <x v="0"/>
    <x v="1"/>
    <x v="0"/>
    <x v="1"/>
    <x v="7"/>
    <x v="7"/>
    <x v="7"/>
    <x v="7"/>
    <x v="7"/>
    <x v="0"/>
    <x v="0"/>
    <x v="0"/>
    <x v="7"/>
    <x v="7"/>
    <x v="7"/>
    <x v="7"/>
    <x v="7"/>
    <x v="7"/>
    <x v="0"/>
    <x v="0"/>
    <x v="7"/>
    <x v="7"/>
    <x v="0"/>
    <x v="0"/>
    <x v="0"/>
    <x v="1"/>
    <x v="1"/>
    <x v="1"/>
    <x v="6"/>
    <x v="6"/>
    <x v="1"/>
    <x v="1"/>
    <x v="1"/>
    <x v="6"/>
    <x v="6"/>
    <x v="1"/>
    <x v="1"/>
    <x v="1"/>
    <x v="6"/>
    <x v="6"/>
    <x v="1"/>
    <x v="1"/>
    <x v="1"/>
    <x v="6"/>
    <x v="6"/>
  </r>
  <r>
    <x v="0"/>
    <x v="8"/>
    <x v="8"/>
    <x v="1"/>
    <x v="1"/>
    <x v="2"/>
    <x v="7"/>
    <x v="0"/>
    <x v="1"/>
    <x v="0"/>
    <x v="8"/>
    <x v="8"/>
    <x v="8"/>
    <x v="7"/>
    <x v="1"/>
    <x v="0"/>
    <x v="0"/>
    <x v="0"/>
    <x v="0"/>
    <x v="8"/>
    <x v="8"/>
    <x v="8"/>
    <x v="8"/>
    <x v="8"/>
    <x v="0"/>
    <x v="0"/>
    <x v="0"/>
    <x v="8"/>
    <x v="8"/>
    <x v="8"/>
    <x v="8"/>
    <x v="8"/>
    <x v="8"/>
    <x v="0"/>
    <x v="0"/>
    <x v="8"/>
    <x v="8"/>
    <x v="0"/>
    <x v="0"/>
    <x v="0"/>
    <x v="1"/>
    <x v="1"/>
    <x v="1"/>
    <x v="7"/>
    <x v="7"/>
    <x v="1"/>
    <x v="1"/>
    <x v="1"/>
    <x v="7"/>
    <x v="7"/>
    <x v="1"/>
    <x v="1"/>
    <x v="1"/>
    <x v="7"/>
    <x v="7"/>
    <x v="1"/>
    <x v="1"/>
    <x v="1"/>
    <x v="7"/>
    <x v="7"/>
  </r>
  <r>
    <x v="0"/>
    <x v="9"/>
    <x v="9"/>
    <x v="1"/>
    <x v="1"/>
    <x v="2"/>
    <x v="8"/>
    <x v="1"/>
    <x v="1"/>
    <x v="0"/>
    <x v="9"/>
    <x v="9"/>
    <x v="9"/>
    <x v="2"/>
    <x v="5"/>
    <x v="1"/>
    <x v="0"/>
    <x v="0"/>
    <x v="0"/>
    <x v="9"/>
    <x v="9"/>
    <x v="9"/>
    <x v="9"/>
    <x v="9"/>
    <x v="0"/>
    <x v="0"/>
    <x v="0"/>
    <x v="9"/>
    <x v="9"/>
    <x v="9"/>
    <x v="9"/>
    <x v="9"/>
    <x v="9"/>
    <x v="0"/>
    <x v="0"/>
    <x v="9"/>
    <x v="9"/>
    <x v="0"/>
    <x v="0"/>
    <x v="0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0"/>
    <x v="10"/>
    <x v="10"/>
    <x v="2"/>
    <x v="3"/>
    <x v="5"/>
    <x v="9"/>
    <x v="0"/>
    <x v="1"/>
    <x v="1"/>
    <x v="10"/>
    <x v="10"/>
    <x v="10"/>
    <x v="2"/>
    <x v="4"/>
    <x v="0"/>
    <x v="1"/>
    <x v="0"/>
    <x v="1"/>
    <x v="10"/>
    <x v="10"/>
    <x v="10"/>
    <x v="10"/>
    <x v="10"/>
    <x v="0"/>
    <x v="0"/>
    <x v="0"/>
    <x v="10"/>
    <x v="10"/>
    <x v="10"/>
    <x v="10"/>
    <x v="10"/>
    <x v="10"/>
    <x v="0"/>
    <x v="0"/>
    <x v="10"/>
    <x v="10"/>
    <x v="0"/>
    <x v="0"/>
    <x v="0"/>
    <x v="6"/>
    <x v="6"/>
    <x v="6"/>
    <x v="8"/>
    <x v="8"/>
    <x v="6"/>
    <x v="6"/>
    <x v="6"/>
    <x v="8"/>
    <x v="8"/>
    <x v="6"/>
    <x v="6"/>
    <x v="6"/>
    <x v="8"/>
    <x v="8"/>
    <x v="6"/>
    <x v="6"/>
    <x v="6"/>
    <x v="8"/>
    <x v="8"/>
  </r>
  <r>
    <x v="0"/>
    <x v="11"/>
    <x v="11"/>
    <x v="2"/>
    <x v="3"/>
    <x v="5"/>
    <x v="10"/>
    <x v="0"/>
    <x v="1"/>
    <x v="1"/>
    <x v="11"/>
    <x v="11"/>
    <x v="11"/>
    <x v="7"/>
    <x v="2"/>
    <x v="0"/>
    <x v="1"/>
    <x v="0"/>
    <x v="1"/>
    <x v="11"/>
    <x v="11"/>
    <x v="11"/>
    <x v="11"/>
    <x v="11"/>
    <x v="0"/>
    <x v="0"/>
    <x v="0"/>
    <x v="11"/>
    <x v="11"/>
    <x v="11"/>
    <x v="11"/>
    <x v="11"/>
    <x v="11"/>
    <x v="0"/>
    <x v="0"/>
    <x v="11"/>
    <x v="11"/>
    <x v="0"/>
    <x v="0"/>
    <x v="0"/>
    <x v="7"/>
    <x v="7"/>
    <x v="7"/>
    <x v="9"/>
    <x v="9"/>
    <x v="7"/>
    <x v="7"/>
    <x v="7"/>
    <x v="9"/>
    <x v="9"/>
    <x v="7"/>
    <x v="7"/>
    <x v="7"/>
    <x v="9"/>
    <x v="9"/>
    <x v="7"/>
    <x v="7"/>
    <x v="7"/>
    <x v="9"/>
    <x v="9"/>
  </r>
  <r>
    <x v="0"/>
    <x v="12"/>
    <x v="12"/>
    <x v="2"/>
    <x v="3"/>
    <x v="5"/>
    <x v="11"/>
    <x v="1"/>
    <x v="1"/>
    <x v="1"/>
    <x v="12"/>
    <x v="12"/>
    <x v="12"/>
    <x v="5"/>
    <x v="6"/>
    <x v="1"/>
    <x v="1"/>
    <x v="0"/>
    <x v="1"/>
    <x v="12"/>
    <x v="12"/>
    <x v="12"/>
    <x v="12"/>
    <x v="12"/>
    <x v="0"/>
    <x v="0"/>
    <x v="0"/>
    <x v="12"/>
    <x v="12"/>
    <x v="12"/>
    <x v="12"/>
    <x v="12"/>
    <x v="12"/>
    <x v="0"/>
    <x v="0"/>
    <x v="12"/>
    <x v="12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13"/>
    <x v="13"/>
    <x v="2"/>
    <x v="3"/>
    <x v="5"/>
    <x v="12"/>
    <x v="1"/>
    <x v="0"/>
    <x v="1"/>
    <x v="13"/>
    <x v="13"/>
    <x v="13"/>
    <x v="8"/>
    <x v="7"/>
    <x v="1"/>
    <x v="1"/>
    <x v="0"/>
    <x v="1"/>
    <x v="13"/>
    <x v="13"/>
    <x v="13"/>
    <x v="13"/>
    <x v="13"/>
    <x v="0"/>
    <x v="0"/>
    <x v="0"/>
    <x v="13"/>
    <x v="13"/>
    <x v="13"/>
    <x v="13"/>
    <x v="13"/>
    <x v="13"/>
    <x v="0"/>
    <x v="0"/>
    <x v="13"/>
    <x v="13"/>
    <x v="0"/>
    <x v="0"/>
    <x v="0"/>
    <x v="8"/>
    <x v="8"/>
    <x v="8"/>
    <x v="10"/>
    <x v="10"/>
    <x v="8"/>
    <x v="8"/>
    <x v="8"/>
    <x v="10"/>
    <x v="10"/>
    <x v="8"/>
    <x v="8"/>
    <x v="8"/>
    <x v="10"/>
    <x v="10"/>
    <x v="8"/>
    <x v="8"/>
    <x v="8"/>
    <x v="10"/>
    <x v="10"/>
  </r>
  <r>
    <x v="0"/>
    <x v="14"/>
    <x v="14"/>
    <x v="2"/>
    <x v="3"/>
    <x v="5"/>
    <x v="13"/>
    <x v="2"/>
    <x v="1"/>
    <x v="1"/>
    <x v="14"/>
    <x v="14"/>
    <x v="14"/>
    <x v="9"/>
    <x v="3"/>
    <x v="2"/>
    <x v="1"/>
    <x v="0"/>
    <x v="1"/>
    <x v="14"/>
    <x v="14"/>
    <x v="14"/>
    <x v="14"/>
    <x v="14"/>
    <x v="0"/>
    <x v="0"/>
    <x v="0"/>
    <x v="14"/>
    <x v="14"/>
    <x v="14"/>
    <x v="14"/>
    <x v="14"/>
    <x v="14"/>
    <x v="0"/>
    <x v="0"/>
    <x v="14"/>
    <x v="14"/>
    <x v="0"/>
    <x v="0"/>
    <x v="0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0"/>
    <x v="15"/>
    <x v="15"/>
    <x v="0"/>
    <x v="0"/>
    <x v="6"/>
    <x v="14"/>
    <x v="0"/>
    <x v="0"/>
    <x v="0"/>
    <x v="15"/>
    <x v="15"/>
    <x v="15"/>
    <x v="10"/>
    <x v="7"/>
    <x v="0"/>
    <x v="0"/>
    <x v="0"/>
    <x v="0"/>
    <x v="15"/>
    <x v="15"/>
    <x v="15"/>
    <x v="15"/>
    <x v="15"/>
    <x v="0"/>
    <x v="0"/>
    <x v="0"/>
    <x v="15"/>
    <x v="15"/>
    <x v="15"/>
    <x v="15"/>
    <x v="15"/>
    <x v="15"/>
    <x v="0"/>
    <x v="0"/>
    <x v="15"/>
    <x v="15"/>
    <x v="0"/>
    <x v="0"/>
    <x v="0"/>
    <x v="9"/>
    <x v="9"/>
    <x v="9"/>
    <x v="11"/>
    <x v="11"/>
    <x v="9"/>
    <x v="9"/>
    <x v="9"/>
    <x v="11"/>
    <x v="11"/>
    <x v="9"/>
    <x v="9"/>
    <x v="9"/>
    <x v="11"/>
    <x v="11"/>
    <x v="9"/>
    <x v="9"/>
    <x v="9"/>
    <x v="11"/>
    <x v="11"/>
  </r>
  <r>
    <x v="0"/>
    <x v="16"/>
    <x v="16"/>
    <x v="0"/>
    <x v="0"/>
    <x v="7"/>
    <x v="15"/>
    <x v="1"/>
    <x v="0"/>
    <x v="0"/>
    <x v="16"/>
    <x v="16"/>
    <x v="16"/>
    <x v="10"/>
    <x v="0"/>
    <x v="1"/>
    <x v="0"/>
    <x v="0"/>
    <x v="0"/>
    <x v="16"/>
    <x v="16"/>
    <x v="16"/>
    <x v="16"/>
    <x v="16"/>
    <x v="0"/>
    <x v="0"/>
    <x v="0"/>
    <x v="16"/>
    <x v="16"/>
    <x v="16"/>
    <x v="16"/>
    <x v="16"/>
    <x v="16"/>
    <x v="0"/>
    <x v="0"/>
    <x v="16"/>
    <x v="16"/>
    <x v="0"/>
    <x v="0"/>
    <x v="0"/>
    <x v="5"/>
    <x v="5"/>
    <x v="5"/>
    <x v="12"/>
    <x v="12"/>
    <x v="5"/>
    <x v="5"/>
    <x v="5"/>
    <x v="12"/>
    <x v="12"/>
    <x v="5"/>
    <x v="5"/>
    <x v="5"/>
    <x v="12"/>
    <x v="12"/>
    <x v="5"/>
    <x v="5"/>
    <x v="5"/>
    <x v="12"/>
    <x v="12"/>
  </r>
  <r>
    <x v="0"/>
    <x v="17"/>
    <x v="17"/>
    <x v="2"/>
    <x v="3"/>
    <x v="5"/>
    <x v="16"/>
    <x v="1"/>
    <x v="1"/>
    <x v="1"/>
    <x v="17"/>
    <x v="17"/>
    <x v="17"/>
    <x v="11"/>
    <x v="6"/>
    <x v="1"/>
    <x v="1"/>
    <x v="0"/>
    <x v="1"/>
    <x v="17"/>
    <x v="17"/>
    <x v="17"/>
    <x v="17"/>
    <x v="17"/>
    <x v="0"/>
    <x v="0"/>
    <x v="0"/>
    <x v="17"/>
    <x v="17"/>
    <x v="17"/>
    <x v="17"/>
    <x v="17"/>
    <x v="17"/>
    <x v="0"/>
    <x v="0"/>
    <x v="17"/>
    <x v="17"/>
    <x v="0"/>
    <x v="0"/>
    <x v="0"/>
    <x v="1"/>
    <x v="1"/>
    <x v="10"/>
    <x v="13"/>
    <x v="13"/>
    <x v="1"/>
    <x v="1"/>
    <x v="10"/>
    <x v="13"/>
    <x v="13"/>
    <x v="1"/>
    <x v="1"/>
    <x v="10"/>
    <x v="13"/>
    <x v="13"/>
    <x v="1"/>
    <x v="1"/>
    <x v="10"/>
    <x v="13"/>
    <x v="13"/>
  </r>
  <r>
    <x v="0"/>
    <x v="18"/>
    <x v="18"/>
    <x v="0"/>
    <x v="0"/>
    <x v="7"/>
    <x v="17"/>
    <x v="1"/>
    <x v="0"/>
    <x v="0"/>
    <x v="18"/>
    <x v="18"/>
    <x v="18"/>
    <x v="10"/>
    <x v="0"/>
    <x v="1"/>
    <x v="0"/>
    <x v="0"/>
    <x v="0"/>
    <x v="18"/>
    <x v="18"/>
    <x v="18"/>
    <x v="18"/>
    <x v="18"/>
    <x v="0"/>
    <x v="0"/>
    <x v="0"/>
    <x v="18"/>
    <x v="18"/>
    <x v="18"/>
    <x v="18"/>
    <x v="18"/>
    <x v="18"/>
    <x v="0"/>
    <x v="0"/>
    <x v="18"/>
    <x v="18"/>
    <x v="0"/>
    <x v="0"/>
    <x v="0"/>
    <x v="10"/>
    <x v="10"/>
    <x v="11"/>
    <x v="14"/>
    <x v="14"/>
    <x v="10"/>
    <x v="10"/>
    <x v="11"/>
    <x v="14"/>
    <x v="14"/>
    <x v="10"/>
    <x v="10"/>
    <x v="11"/>
    <x v="14"/>
    <x v="14"/>
    <x v="10"/>
    <x v="10"/>
    <x v="11"/>
    <x v="14"/>
    <x v="14"/>
  </r>
  <r>
    <x v="0"/>
    <x v="19"/>
    <x v="19"/>
    <x v="1"/>
    <x v="1"/>
    <x v="2"/>
    <x v="18"/>
    <x v="0"/>
    <x v="1"/>
    <x v="0"/>
    <x v="19"/>
    <x v="19"/>
    <x v="19"/>
    <x v="4"/>
    <x v="0"/>
    <x v="0"/>
    <x v="0"/>
    <x v="0"/>
    <x v="0"/>
    <x v="19"/>
    <x v="19"/>
    <x v="19"/>
    <x v="19"/>
    <x v="19"/>
    <x v="0"/>
    <x v="0"/>
    <x v="0"/>
    <x v="19"/>
    <x v="19"/>
    <x v="19"/>
    <x v="19"/>
    <x v="19"/>
    <x v="19"/>
    <x v="0"/>
    <x v="0"/>
    <x v="19"/>
    <x v="19"/>
    <x v="0"/>
    <x v="0"/>
    <x v="0"/>
    <x v="11"/>
    <x v="11"/>
    <x v="12"/>
    <x v="15"/>
    <x v="15"/>
    <x v="11"/>
    <x v="11"/>
    <x v="12"/>
    <x v="15"/>
    <x v="15"/>
    <x v="11"/>
    <x v="11"/>
    <x v="12"/>
    <x v="15"/>
    <x v="15"/>
    <x v="11"/>
    <x v="11"/>
    <x v="12"/>
    <x v="15"/>
    <x v="15"/>
  </r>
  <r>
    <x v="0"/>
    <x v="20"/>
    <x v="20"/>
    <x v="2"/>
    <x v="3"/>
    <x v="5"/>
    <x v="19"/>
    <x v="2"/>
    <x v="3"/>
    <x v="1"/>
    <x v="20"/>
    <x v="20"/>
    <x v="20"/>
    <x v="12"/>
    <x v="7"/>
    <x v="2"/>
    <x v="1"/>
    <x v="0"/>
    <x v="1"/>
    <x v="20"/>
    <x v="20"/>
    <x v="20"/>
    <x v="20"/>
    <x v="20"/>
    <x v="0"/>
    <x v="0"/>
    <x v="0"/>
    <x v="20"/>
    <x v="20"/>
    <x v="20"/>
    <x v="20"/>
    <x v="20"/>
    <x v="20"/>
    <x v="0"/>
    <x v="0"/>
    <x v="20"/>
    <x v="20"/>
    <x v="0"/>
    <x v="0"/>
    <x v="0"/>
    <x v="12"/>
    <x v="12"/>
    <x v="13"/>
    <x v="16"/>
    <x v="16"/>
    <x v="12"/>
    <x v="12"/>
    <x v="13"/>
    <x v="16"/>
    <x v="16"/>
    <x v="12"/>
    <x v="12"/>
    <x v="13"/>
    <x v="16"/>
    <x v="16"/>
    <x v="12"/>
    <x v="12"/>
    <x v="13"/>
    <x v="16"/>
    <x v="16"/>
  </r>
  <r>
    <x v="0"/>
    <x v="21"/>
    <x v="21"/>
    <x v="2"/>
    <x v="3"/>
    <x v="5"/>
    <x v="20"/>
    <x v="1"/>
    <x v="0"/>
    <x v="1"/>
    <x v="21"/>
    <x v="21"/>
    <x v="21"/>
    <x v="0"/>
    <x v="0"/>
    <x v="1"/>
    <x v="1"/>
    <x v="0"/>
    <x v="1"/>
    <x v="21"/>
    <x v="21"/>
    <x v="21"/>
    <x v="21"/>
    <x v="21"/>
    <x v="0"/>
    <x v="0"/>
    <x v="0"/>
    <x v="21"/>
    <x v="21"/>
    <x v="21"/>
    <x v="21"/>
    <x v="21"/>
    <x v="21"/>
    <x v="0"/>
    <x v="0"/>
    <x v="21"/>
    <x v="21"/>
    <x v="0"/>
    <x v="0"/>
    <x v="0"/>
    <x v="5"/>
    <x v="5"/>
    <x v="5"/>
    <x v="17"/>
    <x v="17"/>
    <x v="5"/>
    <x v="5"/>
    <x v="5"/>
    <x v="17"/>
    <x v="17"/>
    <x v="5"/>
    <x v="5"/>
    <x v="5"/>
    <x v="17"/>
    <x v="17"/>
    <x v="5"/>
    <x v="5"/>
    <x v="5"/>
    <x v="17"/>
    <x v="17"/>
  </r>
  <r>
    <x v="0"/>
    <x v="22"/>
    <x v="22"/>
    <x v="1"/>
    <x v="1"/>
    <x v="2"/>
    <x v="21"/>
    <x v="0"/>
    <x v="1"/>
    <x v="0"/>
    <x v="22"/>
    <x v="22"/>
    <x v="22"/>
    <x v="4"/>
    <x v="1"/>
    <x v="0"/>
    <x v="0"/>
    <x v="0"/>
    <x v="0"/>
    <x v="22"/>
    <x v="22"/>
    <x v="22"/>
    <x v="22"/>
    <x v="22"/>
    <x v="0"/>
    <x v="0"/>
    <x v="0"/>
    <x v="22"/>
    <x v="22"/>
    <x v="22"/>
    <x v="22"/>
    <x v="22"/>
    <x v="22"/>
    <x v="0"/>
    <x v="0"/>
    <x v="22"/>
    <x v="22"/>
    <x v="0"/>
    <x v="0"/>
    <x v="0"/>
    <x v="13"/>
    <x v="13"/>
    <x v="14"/>
    <x v="18"/>
    <x v="18"/>
    <x v="13"/>
    <x v="13"/>
    <x v="14"/>
    <x v="18"/>
    <x v="18"/>
    <x v="13"/>
    <x v="13"/>
    <x v="14"/>
    <x v="18"/>
    <x v="18"/>
    <x v="13"/>
    <x v="13"/>
    <x v="14"/>
    <x v="18"/>
    <x v="18"/>
  </r>
  <r>
    <x v="0"/>
    <x v="23"/>
    <x v="23"/>
    <x v="0"/>
    <x v="0"/>
    <x v="8"/>
    <x v="22"/>
    <x v="1"/>
    <x v="1"/>
    <x v="0"/>
    <x v="23"/>
    <x v="23"/>
    <x v="23"/>
    <x v="13"/>
    <x v="7"/>
    <x v="1"/>
    <x v="0"/>
    <x v="0"/>
    <x v="0"/>
    <x v="23"/>
    <x v="23"/>
    <x v="23"/>
    <x v="23"/>
    <x v="23"/>
    <x v="0"/>
    <x v="0"/>
    <x v="0"/>
    <x v="23"/>
    <x v="23"/>
    <x v="23"/>
    <x v="23"/>
    <x v="23"/>
    <x v="23"/>
    <x v="0"/>
    <x v="0"/>
    <x v="23"/>
    <x v="23"/>
    <x v="0"/>
    <x v="0"/>
    <x v="0"/>
    <x v="14"/>
    <x v="14"/>
    <x v="15"/>
    <x v="19"/>
    <x v="19"/>
    <x v="14"/>
    <x v="14"/>
    <x v="15"/>
    <x v="19"/>
    <x v="19"/>
    <x v="14"/>
    <x v="14"/>
    <x v="15"/>
    <x v="19"/>
    <x v="19"/>
    <x v="14"/>
    <x v="14"/>
    <x v="15"/>
    <x v="19"/>
    <x v="19"/>
  </r>
  <r>
    <x v="0"/>
    <x v="24"/>
    <x v="24"/>
    <x v="2"/>
    <x v="3"/>
    <x v="5"/>
    <x v="23"/>
    <x v="0"/>
    <x v="0"/>
    <x v="1"/>
    <x v="24"/>
    <x v="24"/>
    <x v="24"/>
    <x v="14"/>
    <x v="7"/>
    <x v="0"/>
    <x v="1"/>
    <x v="0"/>
    <x v="1"/>
    <x v="24"/>
    <x v="24"/>
    <x v="24"/>
    <x v="24"/>
    <x v="24"/>
    <x v="0"/>
    <x v="0"/>
    <x v="0"/>
    <x v="24"/>
    <x v="24"/>
    <x v="24"/>
    <x v="24"/>
    <x v="24"/>
    <x v="24"/>
    <x v="0"/>
    <x v="0"/>
    <x v="24"/>
    <x v="24"/>
    <x v="0"/>
    <x v="0"/>
    <x v="0"/>
    <x v="15"/>
    <x v="15"/>
    <x v="16"/>
    <x v="20"/>
    <x v="20"/>
    <x v="15"/>
    <x v="15"/>
    <x v="16"/>
    <x v="20"/>
    <x v="20"/>
    <x v="15"/>
    <x v="15"/>
    <x v="16"/>
    <x v="20"/>
    <x v="20"/>
    <x v="15"/>
    <x v="15"/>
    <x v="16"/>
    <x v="20"/>
    <x v="20"/>
  </r>
  <r>
    <x v="0"/>
    <x v="25"/>
    <x v="25"/>
    <x v="0"/>
    <x v="0"/>
    <x v="6"/>
    <x v="24"/>
    <x v="1"/>
    <x v="0"/>
    <x v="0"/>
    <x v="25"/>
    <x v="25"/>
    <x v="25"/>
    <x v="10"/>
    <x v="0"/>
    <x v="1"/>
    <x v="0"/>
    <x v="0"/>
    <x v="0"/>
    <x v="25"/>
    <x v="25"/>
    <x v="25"/>
    <x v="25"/>
    <x v="25"/>
    <x v="0"/>
    <x v="0"/>
    <x v="0"/>
    <x v="25"/>
    <x v="25"/>
    <x v="25"/>
    <x v="25"/>
    <x v="25"/>
    <x v="25"/>
    <x v="0"/>
    <x v="0"/>
    <x v="25"/>
    <x v="25"/>
    <x v="0"/>
    <x v="0"/>
    <x v="0"/>
    <x v="16"/>
    <x v="16"/>
    <x v="17"/>
    <x v="21"/>
    <x v="21"/>
    <x v="16"/>
    <x v="16"/>
    <x v="17"/>
    <x v="21"/>
    <x v="21"/>
    <x v="16"/>
    <x v="16"/>
    <x v="17"/>
    <x v="21"/>
    <x v="21"/>
    <x v="16"/>
    <x v="16"/>
    <x v="17"/>
    <x v="21"/>
    <x v="21"/>
  </r>
  <r>
    <x v="0"/>
    <x v="26"/>
    <x v="26"/>
    <x v="0"/>
    <x v="0"/>
    <x v="9"/>
    <x v="25"/>
    <x v="1"/>
    <x v="1"/>
    <x v="0"/>
    <x v="26"/>
    <x v="26"/>
    <x v="26"/>
    <x v="2"/>
    <x v="0"/>
    <x v="1"/>
    <x v="0"/>
    <x v="0"/>
    <x v="0"/>
    <x v="26"/>
    <x v="26"/>
    <x v="26"/>
    <x v="26"/>
    <x v="26"/>
    <x v="0"/>
    <x v="0"/>
    <x v="0"/>
    <x v="26"/>
    <x v="26"/>
    <x v="26"/>
    <x v="26"/>
    <x v="26"/>
    <x v="26"/>
    <x v="0"/>
    <x v="0"/>
    <x v="26"/>
    <x v="26"/>
    <x v="0"/>
    <x v="0"/>
    <x v="0"/>
    <x v="17"/>
    <x v="17"/>
    <x v="18"/>
    <x v="22"/>
    <x v="22"/>
    <x v="17"/>
    <x v="17"/>
    <x v="18"/>
    <x v="22"/>
    <x v="22"/>
    <x v="17"/>
    <x v="17"/>
    <x v="18"/>
    <x v="22"/>
    <x v="22"/>
    <x v="17"/>
    <x v="17"/>
    <x v="18"/>
    <x v="22"/>
    <x v="22"/>
  </r>
  <r>
    <x v="0"/>
    <x v="27"/>
    <x v="27"/>
    <x v="2"/>
    <x v="3"/>
    <x v="5"/>
    <x v="26"/>
    <x v="0"/>
    <x v="2"/>
    <x v="1"/>
    <x v="27"/>
    <x v="27"/>
    <x v="27"/>
    <x v="2"/>
    <x v="1"/>
    <x v="0"/>
    <x v="1"/>
    <x v="0"/>
    <x v="1"/>
    <x v="27"/>
    <x v="27"/>
    <x v="27"/>
    <x v="27"/>
    <x v="27"/>
    <x v="0"/>
    <x v="0"/>
    <x v="0"/>
    <x v="27"/>
    <x v="27"/>
    <x v="27"/>
    <x v="27"/>
    <x v="27"/>
    <x v="27"/>
    <x v="0"/>
    <x v="0"/>
    <x v="27"/>
    <x v="27"/>
    <x v="0"/>
    <x v="0"/>
    <x v="0"/>
    <x v="18"/>
    <x v="18"/>
    <x v="19"/>
    <x v="23"/>
    <x v="23"/>
    <x v="18"/>
    <x v="18"/>
    <x v="19"/>
    <x v="23"/>
    <x v="23"/>
    <x v="18"/>
    <x v="18"/>
    <x v="19"/>
    <x v="23"/>
    <x v="23"/>
    <x v="18"/>
    <x v="18"/>
    <x v="19"/>
    <x v="23"/>
    <x v="23"/>
  </r>
  <r>
    <x v="0"/>
    <x v="28"/>
    <x v="28"/>
    <x v="0"/>
    <x v="0"/>
    <x v="6"/>
    <x v="27"/>
    <x v="0"/>
    <x v="0"/>
    <x v="0"/>
    <x v="28"/>
    <x v="28"/>
    <x v="28"/>
    <x v="2"/>
    <x v="2"/>
    <x v="0"/>
    <x v="0"/>
    <x v="0"/>
    <x v="0"/>
    <x v="28"/>
    <x v="28"/>
    <x v="28"/>
    <x v="28"/>
    <x v="28"/>
    <x v="0"/>
    <x v="0"/>
    <x v="0"/>
    <x v="28"/>
    <x v="28"/>
    <x v="28"/>
    <x v="28"/>
    <x v="28"/>
    <x v="28"/>
    <x v="0"/>
    <x v="0"/>
    <x v="28"/>
    <x v="28"/>
    <x v="0"/>
    <x v="0"/>
    <x v="0"/>
    <x v="19"/>
    <x v="19"/>
    <x v="20"/>
    <x v="24"/>
    <x v="24"/>
    <x v="19"/>
    <x v="19"/>
    <x v="20"/>
    <x v="24"/>
    <x v="24"/>
    <x v="19"/>
    <x v="19"/>
    <x v="20"/>
    <x v="24"/>
    <x v="24"/>
    <x v="19"/>
    <x v="19"/>
    <x v="20"/>
    <x v="24"/>
    <x v="24"/>
  </r>
  <r>
    <x v="0"/>
    <x v="29"/>
    <x v="29"/>
    <x v="0"/>
    <x v="0"/>
    <x v="10"/>
    <x v="28"/>
    <x v="1"/>
    <x v="1"/>
    <x v="0"/>
    <x v="29"/>
    <x v="29"/>
    <x v="29"/>
    <x v="4"/>
    <x v="0"/>
    <x v="1"/>
    <x v="0"/>
    <x v="0"/>
    <x v="0"/>
    <x v="29"/>
    <x v="29"/>
    <x v="29"/>
    <x v="29"/>
    <x v="29"/>
    <x v="0"/>
    <x v="0"/>
    <x v="0"/>
    <x v="29"/>
    <x v="29"/>
    <x v="29"/>
    <x v="29"/>
    <x v="29"/>
    <x v="29"/>
    <x v="0"/>
    <x v="0"/>
    <x v="29"/>
    <x v="29"/>
    <x v="0"/>
    <x v="0"/>
    <x v="0"/>
    <x v="20"/>
    <x v="20"/>
    <x v="21"/>
    <x v="25"/>
    <x v="25"/>
    <x v="20"/>
    <x v="20"/>
    <x v="21"/>
    <x v="25"/>
    <x v="25"/>
    <x v="20"/>
    <x v="20"/>
    <x v="21"/>
    <x v="25"/>
    <x v="25"/>
    <x v="20"/>
    <x v="20"/>
    <x v="21"/>
    <x v="25"/>
    <x v="25"/>
  </r>
  <r>
    <x v="0"/>
    <x v="30"/>
    <x v="30"/>
    <x v="2"/>
    <x v="3"/>
    <x v="5"/>
    <x v="29"/>
    <x v="0"/>
    <x v="1"/>
    <x v="1"/>
    <x v="30"/>
    <x v="30"/>
    <x v="30"/>
    <x v="13"/>
    <x v="3"/>
    <x v="0"/>
    <x v="1"/>
    <x v="0"/>
    <x v="1"/>
    <x v="30"/>
    <x v="30"/>
    <x v="30"/>
    <x v="30"/>
    <x v="30"/>
    <x v="0"/>
    <x v="0"/>
    <x v="0"/>
    <x v="30"/>
    <x v="30"/>
    <x v="30"/>
    <x v="30"/>
    <x v="30"/>
    <x v="30"/>
    <x v="0"/>
    <x v="0"/>
    <x v="30"/>
    <x v="30"/>
    <x v="0"/>
    <x v="0"/>
    <x v="0"/>
    <x v="21"/>
    <x v="21"/>
    <x v="22"/>
    <x v="26"/>
    <x v="26"/>
    <x v="21"/>
    <x v="21"/>
    <x v="22"/>
    <x v="26"/>
    <x v="26"/>
    <x v="21"/>
    <x v="21"/>
    <x v="22"/>
    <x v="26"/>
    <x v="26"/>
    <x v="21"/>
    <x v="21"/>
    <x v="22"/>
    <x v="26"/>
    <x v="26"/>
  </r>
  <r>
    <x v="0"/>
    <x v="31"/>
    <x v="31"/>
    <x v="2"/>
    <x v="3"/>
    <x v="5"/>
    <x v="30"/>
    <x v="1"/>
    <x v="1"/>
    <x v="1"/>
    <x v="31"/>
    <x v="31"/>
    <x v="31"/>
    <x v="15"/>
    <x v="3"/>
    <x v="1"/>
    <x v="1"/>
    <x v="0"/>
    <x v="1"/>
    <x v="31"/>
    <x v="31"/>
    <x v="31"/>
    <x v="31"/>
    <x v="31"/>
    <x v="0"/>
    <x v="0"/>
    <x v="0"/>
    <x v="31"/>
    <x v="31"/>
    <x v="31"/>
    <x v="31"/>
    <x v="18"/>
    <x v="18"/>
    <x v="0"/>
    <x v="0"/>
    <x v="31"/>
    <x v="31"/>
    <x v="0"/>
    <x v="0"/>
    <x v="0"/>
    <x v="22"/>
    <x v="22"/>
    <x v="23"/>
    <x v="27"/>
    <x v="27"/>
    <x v="22"/>
    <x v="22"/>
    <x v="23"/>
    <x v="27"/>
    <x v="27"/>
    <x v="22"/>
    <x v="22"/>
    <x v="23"/>
    <x v="27"/>
    <x v="27"/>
    <x v="22"/>
    <x v="22"/>
    <x v="23"/>
    <x v="27"/>
    <x v="27"/>
  </r>
  <r>
    <x v="0"/>
    <x v="32"/>
    <x v="32"/>
    <x v="2"/>
    <x v="3"/>
    <x v="5"/>
    <x v="31"/>
    <x v="2"/>
    <x v="0"/>
    <x v="1"/>
    <x v="32"/>
    <x v="32"/>
    <x v="32"/>
    <x v="4"/>
    <x v="0"/>
    <x v="2"/>
    <x v="1"/>
    <x v="0"/>
    <x v="1"/>
    <x v="32"/>
    <x v="32"/>
    <x v="32"/>
    <x v="32"/>
    <x v="32"/>
    <x v="0"/>
    <x v="0"/>
    <x v="0"/>
    <x v="32"/>
    <x v="32"/>
    <x v="32"/>
    <x v="32"/>
    <x v="31"/>
    <x v="31"/>
    <x v="0"/>
    <x v="0"/>
    <x v="32"/>
    <x v="32"/>
    <x v="0"/>
    <x v="0"/>
    <x v="0"/>
    <x v="23"/>
    <x v="23"/>
    <x v="24"/>
    <x v="28"/>
    <x v="28"/>
    <x v="23"/>
    <x v="23"/>
    <x v="24"/>
    <x v="28"/>
    <x v="28"/>
    <x v="23"/>
    <x v="23"/>
    <x v="24"/>
    <x v="28"/>
    <x v="28"/>
    <x v="23"/>
    <x v="23"/>
    <x v="24"/>
    <x v="28"/>
    <x v="28"/>
  </r>
  <r>
    <x v="0"/>
    <x v="33"/>
    <x v="33"/>
    <x v="2"/>
    <x v="3"/>
    <x v="5"/>
    <x v="32"/>
    <x v="2"/>
    <x v="3"/>
    <x v="1"/>
    <x v="33"/>
    <x v="33"/>
    <x v="33"/>
    <x v="7"/>
    <x v="1"/>
    <x v="2"/>
    <x v="1"/>
    <x v="0"/>
    <x v="1"/>
    <x v="33"/>
    <x v="33"/>
    <x v="33"/>
    <x v="33"/>
    <x v="33"/>
    <x v="0"/>
    <x v="0"/>
    <x v="0"/>
    <x v="33"/>
    <x v="33"/>
    <x v="33"/>
    <x v="33"/>
    <x v="32"/>
    <x v="32"/>
    <x v="0"/>
    <x v="0"/>
    <x v="33"/>
    <x v="33"/>
    <x v="0"/>
    <x v="0"/>
    <x v="0"/>
    <x v="24"/>
    <x v="24"/>
    <x v="25"/>
    <x v="29"/>
    <x v="29"/>
    <x v="24"/>
    <x v="24"/>
    <x v="25"/>
    <x v="29"/>
    <x v="29"/>
    <x v="24"/>
    <x v="24"/>
    <x v="25"/>
    <x v="29"/>
    <x v="29"/>
    <x v="24"/>
    <x v="24"/>
    <x v="25"/>
    <x v="29"/>
    <x v="29"/>
  </r>
  <r>
    <x v="0"/>
    <x v="34"/>
    <x v="34"/>
    <x v="2"/>
    <x v="2"/>
    <x v="3"/>
    <x v="33"/>
    <x v="2"/>
    <x v="2"/>
    <x v="1"/>
    <x v="34"/>
    <x v="34"/>
    <x v="34"/>
    <x v="4"/>
    <x v="2"/>
    <x v="2"/>
    <x v="0"/>
    <x v="0"/>
    <x v="0"/>
    <x v="34"/>
    <x v="34"/>
    <x v="34"/>
    <x v="34"/>
    <x v="34"/>
    <x v="0"/>
    <x v="0"/>
    <x v="0"/>
    <x v="34"/>
    <x v="34"/>
    <x v="34"/>
    <x v="34"/>
    <x v="33"/>
    <x v="33"/>
    <x v="0"/>
    <x v="0"/>
    <x v="34"/>
    <x v="34"/>
    <x v="0"/>
    <x v="0"/>
    <x v="0"/>
    <x v="4"/>
    <x v="4"/>
    <x v="4"/>
    <x v="30"/>
    <x v="30"/>
    <x v="4"/>
    <x v="4"/>
    <x v="4"/>
    <x v="30"/>
    <x v="30"/>
    <x v="4"/>
    <x v="4"/>
    <x v="4"/>
    <x v="30"/>
    <x v="30"/>
    <x v="4"/>
    <x v="4"/>
    <x v="4"/>
    <x v="30"/>
    <x v="30"/>
  </r>
  <r>
    <x v="0"/>
    <x v="35"/>
    <x v="35"/>
    <x v="1"/>
    <x v="1"/>
    <x v="2"/>
    <x v="34"/>
    <x v="0"/>
    <x v="1"/>
    <x v="0"/>
    <x v="35"/>
    <x v="35"/>
    <x v="35"/>
    <x v="4"/>
    <x v="1"/>
    <x v="0"/>
    <x v="0"/>
    <x v="0"/>
    <x v="0"/>
    <x v="35"/>
    <x v="35"/>
    <x v="35"/>
    <x v="35"/>
    <x v="35"/>
    <x v="0"/>
    <x v="0"/>
    <x v="0"/>
    <x v="35"/>
    <x v="35"/>
    <x v="35"/>
    <x v="35"/>
    <x v="34"/>
    <x v="34"/>
    <x v="0"/>
    <x v="0"/>
    <x v="35"/>
    <x v="35"/>
    <x v="0"/>
    <x v="0"/>
    <x v="0"/>
    <x v="25"/>
    <x v="25"/>
    <x v="26"/>
    <x v="31"/>
    <x v="31"/>
    <x v="25"/>
    <x v="25"/>
    <x v="26"/>
    <x v="31"/>
    <x v="31"/>
    <x v="25"/>
    <x v="25"/>
    <x v="26"/>
    <x v="31"/>
    <x v="31"/>
    <x v="25"/>
    <x v="25"/>
    <x v="26"/>
    <x v="31"/>
    <x v="31"/>
  </r>
  <r>
    <x v="0"/>
    <x v="36"/>
    <x v="36"/>
    <x v="2"/>
    <x v="3"/>
    <x v="5"/>
    <x v="35"/>
    <x v="0"/>
    <x v="2"/>
    <x v="1"/>
    <x v="36"/>
    <x v="36"/>
    <x v="36"/>
    <x v="3"/>
    <x v="7"/>
    <x v="0"/>
    <x v="1"/>
    <x v="0"/>
    <x v="1"/>
    <x v="36"/>
    <x v="36"/>
    <x v="36"/>
    <x v="36"/>
    <x v="36"/>
    <x v="0"/>
    <x v="0"/>
    <x v="0"/>
    <x v="36"/>
    <x v="36"/>
    <x v="36"/>
    <x v="36"/>
    <x v="35"/>
    <x v="35"/>
    <x v="0"/>
    <x v="0"/>
    <x v="36"/>
    <x v="36"/>
    <x v="0"/>
    <x v="0"/>
    <x v="0"/>
    <x v="26"/>
    <x v="26"/>
    <x v="27"/>
    <x v="32"/>
    <x v="32"/>
    <x v="26"/>
    <x v="26"/>
    <x v="27"/>
    <x v="32"/>
    <x v="32"/>
    <x v="26"/>
    <x v="26"/>
    <x v="27"/>
    <x v="32"/>
    <x v="32"/>
    <x v="26"/>
    <x v="26"/>
    <x v="27"/>
    <x v="32"/>
    <x v="32"/>
  </r>
  <r>
    <x v="0"/>
    <x v="37"/>
    <x v="37"/>
    <x v="1"/>
    <x v="1"/>
    <x v="2"/>
    <x v="36"/>
    <x v="0"/>
    <x v="1"/>
    <x v="0"/>
    <x v="37"/>
    <x v="37"/>
    <x v="37"/>
    <x v="7"/>
    <x v="1"/>
    <x v="0"/>
    <x v="0"/>
    <x v="0"/>
    <x v="0"/>
    <x v="37"/>
    <x v="37"/>
    <x v="37"/>
    <x v="37"/>
    <x v="37"/>
    <x v="0"/>
    <x v="0"/>
    <x v="0"/>
    <x v="37"/>
    <x v="37"/>
    <x v="37"/>
    <x v="37"/>
    <x v="36"/>
    <x v="36"/>
    <x v="0"/>
    <x v="0"/>
    <x v="37"/>
    <x v="37"/>
    <x v="0"/>
    <x v="0"/>
    <x v="0"/>
    <x v="27"/>
    <x v="27"/>
    <x v="28"/>
    <x v="33"/>
    <x v="33"/>
    <x v="27"/>
    <x v="27"/>
    <x v="28"/>
    <x v="33"/>
    <x v="33"/>
    <x v="27"/>
    <x v="27"/>
    <x v="28"/>
    <x v="33"/>
    <x v="33"/>
    <x v="27"/>
    <x v="27"/>
    <x v="28"/>
    <x v="33"/>
    <x v="33"/>
  </r>
  <r>
    <x v="0"/>
    <x v="38"/>
    <x v="38"/>
    <x v="2"/>
    <x v="3"/>
    <x v="5"/>
    <x v="37"/>
    <x v="0"/>
    <x v="0"/>
    <x v="1"/>
    <x v="38"/>
    <x v="38"/>
    <x v="38"/>
    <x v="0"/>
    <x v="2"/>
    <x v="0"/>
    <x v="1"/>
    <x v="0"/>
    <x v="1"/>
    <x v="38"/>
    <x v="38"/>
    <x v="38"/>
    <x v="38"/>
    <x v="38"/>
    <x v="0"/>
    <x v="0"/>
    <x v="0"/>
    <x v="38"/>
    <x v="38"/>
    <x v="38"/>
    <x v="38"/>
    <x v="37"/>
    <x v="37"/>
    <x v="0"/>
    <x v="0"/>
    <x v="38"/>
    <x v="38"/>
    <x v="0"/>
    <x v="0"/>
    <x v="0"/>
    <x v="28"/>
    <x v="28"/>
    <x v="29"/>
    <x v="34"/>
    <x v="34"/>
    <x v="28"/>
    <x v="28"/>
    <x v="29"/>
    <x v="34"/>
    <x v="34"/>
    <x v="28"/>
    <x v="28"/>
    <x v="29"/>
    <x v="34"/>
    <x v="34"/>
    <x v="28"/>
    <x v="28"/>
    <x v="29"/>
    <x v="34"/>
    <x v="34"/>
  </r>
  <r>
    <x v="0"/>
    <x v="39"/>
    <x v="39"/>
    <x v="0"/>
    <x v="0"/>
    <x v="9"/>
    <x v="38"/>
    <x v="0"/>
    <x v="1"/>
    <x v="0"/>
    <x v="39"/>
    <x v="39"/>
    <x v="39"/>
    <x v="4"/>
    <x v="0"/>
    <x v="0"/>
    <x v="0"/>
    <x v="0"/>
    <x v="0"/>
    <x v="39"/>
    <x v="39"/>
    <x v="39"/>
    <x v="39"/>
    <x v="39"/>
    <x v="0"/>
    <x v="0"/>
    <x v="0"/>
    <x v="39"/>
    <x v="39"/>
    <x v="39"/>
    <x v="39"/>
    <x v="38"/>
    <x v="38"/>
    <x v="0"/>
    <x v="0"/>
    <x v="39"/>
    <x v="39"/>
    <x v="0"/>
    <x v="0"/>
    <x v="0"/>
    <x v="29"/>
    <x v="29"/>
    <x v="30"/>
    <x v="35"/>
    <x v="35"/>
    <x v="29"/>
    <x v="29"/>
    <x v="30"/>
    <x v="35"/>
    <x v="35"/>
    <x v="29"/>
    <x v="29"/>
    <x v="30"/>
    <x v="35"/>
    <x v="35"/>
    <x v="29"/>
    <x v="29"/>
    <x v="30"/>
    <x v="35"/>
    <x v="35"/>
  </r>
  <r>
    <x v="0"/>
    <x v="40"/>
    <x v="40"/>
    <x v="0"/>
    <x v="0"/>
    <x v="1"/>
    <x v="39"/>
    <x v="1"/>
    <x v="0"/>
    <x v="0"/>
    <x v="40"/>
    <x v="40"/>
    <x v="40"/>
    <x v="10"/>
    <x v="7"/>
    <x v="1"/>
    <x v="0"/>
    <x v="0"/>
    <x v="0"/>
    <x v="40"/>
    <x v="40"/>
    <x v="40"/>
    <x v="40"/>
    <x v="40"/>
    <x v="0"/>
    <x v="0"/>
    <x v="0"/>
    <x v="40"/>
    <x v="40"/>
    <x v="40"/>
    <x v="40"/>
    <x v="39"/>
    <x v="39"/>
    <x v="0"/>
    <x v="0"/>
    <x v="40"/>
    <x v="40"/>
    <x v="0"/>
    <x v="0"/>
    <x v="0"/>
    <x v="30"/>
    <x v="30"/>
    <x v="31"/>
    <x v="36"/>
    <x v="36"/>
    <x v="30"/>
    <x v="30"/>
    <x v="31"/>
    <x v="36"/>
    <x v="36"/>
    <x v="30"/>
    <x v="30"/>
    <x v="31"/>
    <x v="36"/>
    <x v="36"/>
    <x v="30"/>
    <x v="30"/>
    <x v="31"/>
    <x v="36"/>
    <x v="36"/>
  </r>
  <r>
    <x v="0"/>
    <x v="41"/>
    <x v="41"/>
    <x v="2"/>
    <x v="3"/>
    <x v="5"/>
    <x v="40"/>
    <x v="0"/>
    <x v="0"/>
    <x v="1"/>
    <x v="41"/>
    <x v="41"/>
    <x v="41"/>
    <x v="3"/>
    <x v="5"/>
    <x v="0"/>
    <x v="1"/>
    <x v="0"/>
    <x v="1"/>
    <x v="41"/>
    <x v="41"/>
    <x v="41"/>
    <x v="41"/>
    <x v="41"/>
    <x v="0"/>
    <x v="0"/>
    <x v="0"/>
    <x v="41"/>
    <x v="41"/>
    <x v="41"/>
    <x v="41"/>
    <x v="40"/>
    <x v="40"/>
    <x v="0"/>
    <x v="0"/>
    <x v="41"/>
    <x v="41"/>
    <x v="0"/>
    <x v="0"/>
    <x v="0"/>
    <x v="31"/>
    <x v="31"/>
    <x v="32"/>
    <x v="37"/>
    <x v="37"/>
    <x v="31"/>
    <x v="31"/>
    <x v="32"/>
    <x v="37"/>
    <x v="37"/>
    <x v="31"/>
    <x v="31"/>
    <x v="32"/>
    <x v="37"/>
    <x v="37"/>
    <x v="31"/>
    <x v="31"/>
    <x v="32"/>
    <x v="37"/>
    <x v="37"/>
  </r>
  <r>
    <x v="0"/>
    <x v="42"/>
    <x v="42"/>
    <x v="2"/>
    <x v="3"/>
    <x v="5"/>
    <x v="41"/>
    <x v="0"/>
    <x v="0"/>
    <x v="1"/>
    <x v="42"/>
    <x v="42"/>
    <x v="42"/>
    <x v="3"/>
    <x v="2"/>
    <x v="0"/>
    <x v="1"/>
    <x v="0"/>
    <x v="1"/>
    <x v="42"/>
    <x v="42"/>
    <x v="42"/>
    <x v="42"/>
    <x v="42"/>
    <x v="0"/>
    <x v="0"/>
    <x v="0"/>
    <x v="42"/>
    <x v="42"/>
    <x v="42"/>
    <x v="42"/>
    <x v="41"/>
    <x v="41"/>
    <x v="0"/>
    <x v="0"/>
    <x v="42"/>
    <x v="42"/>
    <x v="0"/>
    <x v="0"/>
    <x v="0"/>
    <x v="32"/>
    <x v="32"/>
    <x v="33"/>
    <x v="38"/>
    <x v="38"/>
    <x v="32"/>
    <x v="32"/>
    <x v="33"/>
    <x v="38"/>
    <x v="38"/>
    <x v="32"/>
    <x v="32"/>
    <x v="33"/>
    <x v="38"/>
    <x v="38"/>
    <x v="32"/>
    <x v="32"/>
    <x v="33"/>
    <x v="38"/>
    <x v="38"/>
  </r>
  <r>
    <x v="0"/>
    <x v="43"/>
    <x v="43"/>
    <x v="2"/>
    <x v="3"/>
    <x v="5"/>
    <x v="42"/>
    <x v="2"/>
    <x v="2"/>
    <x v="1"/>
    <x v="43"/>
    <x v="43"/>
    <x v="43"/>
    <x v="12"/>
    <x v="1"/>
    <x v="2"/>
    <x v="1"/>
    <x v="0"/>
    <x v="1"/>
    <x v="43"/>
    <x v="43"/>
    <x v="43"/>
    <x v="43"/>
    <x v="43"/>
    <x v="0"/>
    <x v="0"/>
    <x v="0"/>
    <x v="43"/>
    <x v="43"/>
    <x v="43"/>
    <x v="43"/>
    <x v="42"/>
    <x v="42"/>
    <x v="0"/>
    <x v="0"/>
    <x v="43"/>
    <x v="43"/>
    <x v="0"/>
    <x v="0"/>
    <x v="0"/>
    <x v="33"/>
    <x v="33"/>
    <x v="34"/>
    <x v="39"/>
    <x v="39"/>
    <x v="33"/>
    <x v="33"/>
    <x v="34"/>
    <x v="39"/>
    <x v="39"/>
    <x v="33"/>
    <x v="33"/>
    <x v="34"/>
    <x v="39"/>
    <x v="39"/>
    <x v="33"/>
    <x v="33"/>
    <x v="34"/>
    <x v="39"/>
    <x v="39"/>
  </r>
  <r>
    <x v="0"/>
    <x v="44"/>
    <x v="44"/>
    <x v="2"/>
    <x v="3"/>
    <x v="5"/>
    <x v="43"/>
    <x v="0"/>
    <x v="0"/>
    <x v="1"/>
    <x v="44"/>
    <x v="44"/>
    <x v="44"/>
    <x v="10"/>
    <x v="7"/>
    <x v="0"/>
    <x v="1"/>
    <x v="0"/>
    <x v="1"/>
    <x v="44"/>
    <x v="44"/>
    <x v="44"/>
    <x v="44"/>
    <x v="44"/>
    <x v="0"/>
    <x v="0"/>
    <x v="0"/>
    <x v="44"/>
    <x v="44"/>
    <x v="44"/>
    <x v="44"/>
    <x v="43"/>
    <x v="43"/>
    <x v="0"/>
    <x v="0"/>
    <x v="44"/>
    <x v="44"/>
    <x v="0"/>
    <x v="0"/>
    <x v="0"/>
    <x v="34"/>
    <x v="34"/>
    <x v="35"/>
    <x v="40"/>
    <x v="40"/>
    <x v="34"/>
    <x v="34"/>
    <x v="35"/>
    <x v="40"/>
    <x v="40"/>
    <x v="34"/>
    <x v="34"/>
    <x v="35"/>
    <x v="40"/>
    <x v="40"/>
    <x v="34"/>
    <x v="34"/>
    <x v="35"/>
    <x v="40"/>
    <x v="40"/>
  </r>
  <r>
    <x v="0"/>
    <x v="45"/>
    <x v="45"/>
    <x v="2"/>
    <x v="3"/>
    <x v="11"/>
    <x v="44"/>
    <x v="2"/>
    <x v="3"/>
    <x v="1"/>
    <x v="45"/>
    <x v="45"/>
    <x v="45"/>
    <x v="4"/>
    <x v="8"/>
    <x v="2"/>
    <x v="1"/>
    <x v="0"/>
    <x v="1"/>
    <x v="45"/>
    <x v="45"/>
    <x v="45"/>
    <x v="45"/>
    <x v="45"/>
    <x v="0"/>
    <x v="0"/>
    <x v="0"/>
    <x v="45"/>
    <x v="45"/>
    <x v="45"/>
    <x v="45"/>
    <x v="44"/>
    <x v="44"/>
    <x v="0"/>
    <x v="0"/>
    <x v="45"/>
    <x v="45"/>
    <x v="0"/>
    <x v="0"/>
    <x v="0"/>
    <x v="35"/>
    <x v="35"/>
    <x v="36"/>
    <x v="41"/>
    <x v="41"/>
    <x v="35"/>
    <x v="35"/>
    <x v="36"/>
    <x v="41"/>
    <x v="41"/>
    <x v="35"/>
    <x v="35"/>
    <x v="36"/>
    <x v="41"/>
    <x v="41"/>
    <x v="35"/>
    <x v="35"/>
    <x v="36"/>
    <x v="41"/>
    <x v="41"/>
  </r>
  <r>
    <x v="0"/>
    <x v="46"/>
    <x v="46"/>
    <x v="2"/>
    <x v="3"/>
    <x v="5"/>
    <x v="45"/>
    <x v="0"/>
    <x v="0"/>
    <x v="1"/>
    <x v="46"/>
    <x v="46"/>
    <x v="46"/>
    <x v="1"/>
    <x v="7"/>
    <x v="0"/>
    <x v="1"/>
    <x v="0"/>
    <x v="1"/>
    <x v="46"/>
    <x v="46"/>
    <x v="46"/>
    <x v="46"/>
    <x v="46"/>
    <x v="0"/>
    <x v="0"/>
    <x v="0"/>
    <x v="46"/>
    <x v="46"/>
    <x v="46"/>
    <x v="46"/>
    <x v="45"/>
    <x v="45"/>
    <x v="0"/>
    <x v="0"/>
    <x v="46"/>
    <x v="46"/>
    <x v="0"/>
    <x v="0"/>
    <x v="0"/>
    <x v="36"/>
    <x v="36"/>
    <x v="37"/>
    <x v="42"/>
    <x v="42"/>
    <x v="36"/>
    <x v="36"/>
    <x v="37"/>
    <x v="42"/>
    <x v="42"/>
    <x v="36"/>
    <x v="36"/>
    <x v="37"/>
    <x v="42"/>
    <x v="42"/>
    <x v="36"/>
    <x v="36"/>
    <x v="37"/>
    <x v="42"/>
    <x v="42"/>
  </r>
  <r>
    <x v="0"/>
    <x v="47"/>
    <x v="47"/>
    <x v="2"/>
    <x v="3"/>
    <x v="5"/>
    <x v="27"/>
    <x v="0"/>
    <x v="0"/>
    <x v="1"/>
    <x v="47"/>
    <x v="47"/>
    <x v="47"/>
    <x v="14"/>
    <x v="7"/>
    <x v="0"/>
    <x v="1"/>
    <x v="0"/>
    <x v="1"/>
    <x v="47"/>
    <x v="47"/>
    <x v="47"/>
    <x v="47"/>
    <x v="47"/>
    <x v="0"/>
    <x v="0"/>
    <x v="0"/>
    <x v="47"/>
    <x v="47"/>
    <x v="47"/>
    <x v="47"/>
    <x v="46"/>
    <x v="46"/>
    <x v="0"/>
    <x v="0"/>
    <x v="47"/>
    <x v="47"/>
    <x v="0"/>
    <x v="0"/>
    <x v="0"/>
    <x v="37"/>
    <x v="37"/>
    <x v="38"/>
    <x v="43"/>
    <x v="43"/>
    <x v="37"/>
    <x v="37"/>
    <x v="38"/>
    <x v="43"/>
    <x v="43"/>
    <x v="37"/>
    <x v="37"/>
    <x v="38"/>
    <x v="43"/>
    <x v="43"/>
    <x v="37"/>
    <x v="37"/>
    <x v="38"/>
    <x v="43"/>
    <x v="43"/>
  </r>
  <r>
    <x v="0"/>
    <x v="48"/>
    <x v="48"/>
    <x v="1"/>
    <x v="1"/>
    <x v="2"/>
    <x v="46"/>
    <x v="2"/>
    <x v="1"/>
    <x v="0"/>
    <x v="48"/>
    <x v="48"/>
    <x v="48"/>
    <x v="12"/>
    <x v="1"/>
    <x v="2"/>
    <x v="0"/>
    <x v="0"/>
    <x v="0"/>
    <x v="48"/>
    <x v="48"/>
    <x v="48"/>
    <x v="48"/>
    <x v="48"/>
    <x v="0"/>
    <x v="0"/>
    <x v="0"/>
    <x v="48"/>
    <x v="48"/>
    <x v="48"/>
    <x v="48"/>
    <x v="47"/>
    <x v="47"/>
    <x v="0"/>
    <x v="0"/>
    <x v="48"/>
    <x v="48"/>
    <x v="0"/>
    <x v="0"/>
    <x v="0"/>
    <x v="38"/>
    <x v="38"/>
    <x v="39"/>
    <x v="44"/>
    <x v="44"/>
    <x v="38"/>
    <x v="38"/>
    <x v="39"/>
    <x v="44"/>
    <x v="44"/>
    <x v="38"/>
    <x v="38"/>
    <x v="39"/>
    <x v="44"/>
    <x v="44"/>
    <x v="38"/>
    <x v="38"/>
    <x v="39"/>
    <x v="44"/>
    <x v="44"/>
  </r>
  <r>
    <x v="0"/>
    <x v="49"/>
    <x v="49"/>
    <x v="2"/>
    <x v="3"/>
    <x v="5"/>
    <x v="47"/>
    <x v="1"/>
    <x v="1"/>
    <x v="1"/>
    <x v="49"/>
    <x v="49"/>
    <x v="49"/>
    <x v="16"/>
    <x v="5"/>
    <x v="1"/>
    <x v="1"/>
    <x v="0"/>
    <x v="1"/>
    <x v="49"/>
    <x v="49"/>
    <x v="49"/>
    <x v="49"/>
    <x v="49"/>
    <x v="0"/>
    <x v="0"/>
    <x v="0"/>
    <x v="49"/>
    <x v="49"/>
    <x v="49"/>
    <x v="49"/>
    <x v="48"/>
    <x v="48"/>
    <x v="0"/>
    <x v="0"/>
    <x v="49"/>
    <x v="49"/>
    <x v="0"/>
    <x v="0"/>
    <x v="0"/>
    <x v="39"/>
    <x v="39"/>
    <x v="40"/>
    <x v="45"/>
    <x v="45"/>
    <x v="39"/>
    <x v="39"/>
    <x v="40"/>
    <x v="45"/>
    <x v="45"/>
    <x v="39"/>
    <x v="39"/>
    <x v="40"/>
    <x v="45"/>
    <x v="45"/>
    <x v="39"/>
    <x v="39"/>
    <x v="40"/>
    <x v="45"/>
    <x v="45"/>
  </r>
  <r>
    <x v="0"/>
    <x v="50"/>
    <x v="50"/>
    <x v="2"/>
    <x v="3"/>
    <x v="5"/>
    <x v="48"/>
    <x v="0"/>
    <x v="1"/>
    <x v="1"/>
    <x v="50"/>
    <x v="50"/>
    <x v="50"/>
    <x v="17"/>
    <x v="3"/>
    <x v="0"/>
    <x v="1"/>
    <x v="0"/>
    <x v="1"/>
    <x v="50"/>
    <x v="50"/>
    <x v="50"/>
    <x v="50"/>
    <x v="50"/>
    <x v="0"/>
    <x v="0"/>
    <x v="0"/>
    <x v="50"/>
    <x v="50"/>
    <x v="50"/>
    <x v="50"/>
    <x v="49"/>
    <x v="49"/>
    <x v="0"/>
    <x v="0"/>
    <x v="50"/>
    <x v="50"/>
    <x v="0"/>
    <x v="0"/>
    <x v="0"/>
    <x v="40"/>
    <x v="40"/>
    <x v="41"/>
    <x v="46"/>
    <x v="46"/>
    <x v="40"/>
    <x v="40"/>
    <x v="41"/>
    <x v="46"/>
    <x v="46"/>
    <x v="40"/>
    <x v="40"/>
    <x v="41"/>
    <x v="46"/>
    <x v="46"/>
    <x v="40"/>
    <x v="40"/>
    <x v="41"/>
    <x v="46"/>
    <x v="46"/>
  </r>
  <r>
    <x v="0"/>
    <x v="51"/>
    <x v="51"/>
    <x v="2"/>
    <x v="3"/>
    <x v="5"/>
    <x v="49"/>
    <x v="0"/>
    <x v="0"/>
    <x v="1"/>
    <x v="51"/>
    <x v="51"/>
    <x v="51"/>
    <x v="1"/>
    <x v="1"/>
    <x v="0"/>
    <x v="1"/>
    <x v="0"/>
    <x v="1"/>
    <x v="51"/>
    <x v="51"/>
    <x v="51"/>
    <x v="51"/>
    <x v="51"/>
    <x v="0"/>
    <x v="0"/>
    <x v="0"/>
    <x v="51"/>
    <x v="51"/>
    <x v="51"/>
    <x v="51"/>
    <x v="50"/>
    <x v="50"/>
    <x v="0"/>
    <x v="0"/>
    <x v="51"/>
    <x v="51"/>
    <x v="0"/>
    <x v="0"/>
    <x v="0"/>
    <x v="41"/>
    <x v="41"/>
    <x v="42"/>
    <x v="47"/>
    <x v="47"/>
    <x v="41"/>
    <x v="41"/>
    <x v="42"/>
    <x v="47"/>
    <x v="47"/>
    <x v="41"/>
    <x v="41"/>
    <x v="42"/>
    <x v="47"/>
    <x v="47"/>
    <x v="41"/>
    <x v="41"/>
    <x v="42"/>
    <x v="47"/>
    <x v="47"/>
  </r>
  <r>
    <x v="0"/>
    <x v="52"/>
    <x v="52"/>
    <x v="2"/>
    <x v="3"/>
    <x v="5"/>
    <x v="50"/>
    <x v="2"/>
    <x v="3"/>
    <x v="1"/>
    <x v="52"/>
    <x v="52"/>
    <x v="52"/>
    <x v="4"/>
    <x v="1"/>
    <x v="2"/>
    <x v="1"/>
    <x v="0"/>
    <x v="1"/>
    <x v="52"/>
    <x v="52"/>
    <x v="52"/>
    <x v="43"/>
    <x v="52"/>
    <x v="0"/>
    <x v="0"/>
    <x v="0"/>
    <x v="52"/>
    <x v="52"/>
    <x v="52"/>
    <x v="52"/>
    <x v="51"/>
    <x v="51"/>
    <x v="0"/>
    <x v="0"/>
    <x v="52"/>
    <x v="52"/>
    <x v="0"/>
    <x v="0"/>
    <x v="0"/>
    <x v="42"/>
    <x v="42"/>
    <x v="43"/>
    <x v="48"/>
    <x v="48"/>
    <x v="42"/>
    <x v="42"/>
    <x v="43"/>
    <x v="48"/>
    <x v="48"/>
    <x v="42"/>
    <x v="42"/>
    <x v="43"/>
    <x v="48"/>
    <x v="48"/>
    <x v="42"/>
    <x v="42"/>
    <x v="43"/>
    <x v="48"/>
    <x v="48"/>
  </r>
  <r>
    <x v="0"/>
    <x v="53"/>
    <x v="53"/>
    <x v="0"/>
    <x v="4"/>
    <x v="12"/>
    <x v="51"/>
    <x v="0"/>
    <x v="1"/>
    <x v="0"/>
    <x v="53"/>
    <x v="53"/>
    <x v="53"/>
    <x v="7"/>
    <x v="7"/>
    <x v="0"/>
    <x v="0"/>
    <x v="0"/>
    <x v="0"/>
    <x v="53"/>
    <x v="53"/>
    <x v="53"/>
    <x v="52"/>
    <x v="53"/>
    <x v="0"/>
    <x v="0"/>
    <x v="0"/>
    <x v="53"/>
    <x v="53"/>
    <x v="53"/>
    <x v="53"/>
    <x v="52"/>
    <x v="52"/>
    <x v="0"/>
    <x v="0"/>
    <x v="53"/>
    <x v="53"/>
    <x v="0"/>
    <x v="0"/>
    <x v="0"/>
    <x v="43"/>
    <x v="43"/>
    <x v="44"/>
    <x v="49"/>
    <x v="49"/>
    <x v="43"/>
    <x v="43"/>
    <x v="44"/>
    <x v="49"/>
    <x v="49"/>
    <x v="43"/>
    <x v="43"/>
    <x v="44"/>
    <x v="49"/>
    <x v="49"/>
    <x v="43"/>
    <x v="43"/>
    <x v="44"/>
    <x v="49"/>
    <x v="49"/>
  </r>
  <r>
    <x v="0"/>
    <x v="54"/>
    <x v="54"/>
    <x v="2"/>
    <x v="3"/>
    <x v="5"/>
    <x v="52"/>
    <x v="2"/>
    <x v="3"/>
    <x v="1"/>
    <x v="54"/>
    <x v="54"/>
    <x v="54"/>
    <x v="18"/>
    <x v="0"/>
    <x v="2"/>
    <x v="1"/>
    <x v="0"/>
    <x v="1"/>
    <x v="54"/>
    <x v="54"/>
    <x v="54"/>
    <x v="53"/>
    <x v="54"/>
    <x v="0"/>
    <x v="0"/>
    <x v="0"/>
    <x v="54"/>
    <x v="54"/>
    <x v="54"/>
    <x v="54"/>
    <x v="53"/>
    <x v="53"/>
    <x v="0"/>
    <x v="0"/>
    <x v="54"/>
    <x v="54"/>
    <x v="0"/>
    <x v="0"/>
    <x v="0"/>
    <x v="44"/>
    <x v="44"/>
    <x v="45"/>
    <x v="50"/>
    <x v="50"/>
    <x v="44"/>
    <x v="44"/>
    <x v="45"/>
    <x v="50"/>
    <x v="50"/>
    <x v="44"/>
    <x v="44"/>
    <x v="45"/>
    <x v="50"/>
    <x v="50"/>
    <x v="44"/>
    <x v="44"/>
    <x v="45"/>
    <x v="50"/>
    <x v="50"/>
  </r>
  <r>
    <x v="0"/>
    <x v="55"/>
    <x v="55"/>
    <x v="0"/>
    <x v="0"/>
    <x v="10"/>
    <x v="53"/>
    <x v="1"/>
    <x v="1"/>
    <x v="0"/>
    <x v="55"/>
    <x v="55"/>
    <x v="55"/>
    <x v="11"/>
    <x v="0"/>
    <x v="1"/>
    <x v="0"/>
    <x v="0"/>
    <x v="0"/>
    <x v="55"/>
    <x v="55"/>
    <x v="55"/>
    <x v="54"/>
    <x v="55"/>
    <x v="0"/>
    <x v="0"/>
    <x v="0"/>
    <x v="55"/>
    <x v="55"/>
    <x v="55"/>
    <x v="55"/>
    <x v="54"/>
    <x v="54"/>
    <x v="0"/>
    <x v="0"/>
    <x v="55"/>
    <x v="55"/>
    <x v="0"/>
    <x v="0"/>
    <x v="1"/>
    <x v="45"/>
    <x v="45"/>
    <x v="46"/>
    <x v="51"/>
    <x v="51"/>
    <x v="45"/>
    <x v="45"/>
    <x v="46"/>
    <x v="51"/>
    <x v="51"/>
    <x v="45"/>
    <x v="45"/>
    <x v="46"/>
    <x v="51"/>
    <x v="51"/>
    <x v="45"/>
    <x v="45"/>
    <x v="46"/>
    <x v="51"/>
    <x v="51"/>
  </r>
  <r>
    <x v="0"/>
    <x v="56"/>
    <x v="56"/>
    <x v="2"/>
    <x v="3"/>
    <x v="5"/>
    <x v="54"/>
    <x v="0"/>
    <x v="2"/>
    <x v="1"/>
    <x v="56"/>
    <x v="56"/>
    <x v="56"/>
    <x v="2"/>
    <x v="7"/>
    <x v="0"/>
    <x v="1"/>
    <x v="0"/>
    <x v="1"/>
    <x v="56"/>
    <x v="56"/>
    <x v="56"/>
    <x v="27"/>
    <x v="56"/>
    <x v="0"/>
    <x v="0"/>
    <x v="0"/>
    <x v="56"/>
    <x v="56"/>
    <x v="56"/>
    <x v="56"/>
    <x v="55"/>
    <x v="55"/>
    <x v="0"/>
    <x v="0"/>
    <x v="56"/>
    <x v="56"/>
    <x v="0"/>
    <x v="0"/>
    <x v="0"/>
    <x v="46"/>
    <x v="46"/>
    <x v="47"/>
    <x v="52"/>
    <x v="52"/>
    <x v="46"/>
    <x v="46"/>
    <x v="47"/>
    <x v="52"/>
    <x v="52"/>
    <x v="46"/>
    <x v="46"/>
    <x v="47"/>
    <x v="52"/>
    <x v="52"/>
    <x v="46"/>
    <x v="46"/>
    <x v="47"/>
    <x v="52"/>
    <x v="52"/>
  </r>
  <r>
    <x v="0"/>
    <x v="57"/>
    <x v="57"/>
    <x v="2"/>
    <x v="3"/>
    <x v="5"/>
    <x v="55"/>
    <x v="0"/>
    <x v="2"/>
    <x v="1"/>
    <x v="57"/>
    <x v="57"/>
    <x v="57"/>
    <x v="13"/>
    <x v="1"/>
    <x v="0"/>
    <x v="1"/>
    <x v="0"/>
    <x v="1"/>
    <x v="57"/>
    <x v="57"/>
    <x v="57"/>
    <x v="55"/>
    <x v="57"/>
    <x v="0"/>
    <x v="0"/>
    <x v="0"/>
    <x v="57"/>
    <x v="57"/>
    <x v="57"/>
    <x v="57"/>
    <x v="56"/>
    <x v="56"/>
    <x v="0"/>
    <x v="0"/>
    <x v="57"/>
    <x v="57"/>
    <x v="0"/>
    <x v="0"/>
    <x v="0"/>
    <x v="47"/>
    <x v="47"/>
    <x v="48"/>
    <x v="53"/>
    <x v="53"/>
    <x v="47"/>
    <x v="47"/>
    <x v="48"/>
    <x v="53"/>
    <x v="53"/>
    <x v="47"/>
    <x v="47"/>
    <x v="48"/>
    <x v="53"/>
    <x v="53"/>
    <x v="47"/>
    <x v="47"/>
    <x v="48"/>
    <x v="53"/>
    <x v="53"/>
  </r>
  <r>
    <x v="0"/>
    <x v="58"/>
    <x v="58"/>
    <x v="0"/>
    <x v="4"/>
    <x v="12"/>
    <x v="56"/>
    <x v="1"/>
    <x v="1"/>
    <x v="0"/>
    <x v="58"/>
    <x v="58"/>
    <x v="58"/>
    <x v="10"/>
    <x v="2"/>
    <x v="1"/>
    <x v="0"/>
    <x v="0"/>
    <x v="0"/>
    <x v="58"/>
    <x v="58"/>
    <x v="58"/>
    <x v="56"/>
    <x v="58"/>
    <x v="0"/>
    <x v="0"/>
    <x v="0"/>
    <x v="58"/>
    <x v="58"/>
    <x v="58"/>
    <x v="58"/>
    <x v="57"/>
    <x v="57"/>
    <x v="0"/>
    <x v="0"/>
    <x v="58"/>
    <x v="58"/>
    <x v="0"/>
    <x v="0"/>
    <x v="0"/>
    <x v="8"/>
    <x v="8"/>
    <x v="49"/>
    <x v="54"/>
    <x v="54"/>
    <x v="8"/>
    <x v="8"/>
    <x v="49"/>
    <x v="54"/>
    <x v="54"/>
    <x v="8"/>
    <x v="8"/>
    <x v="49"/>
    <x v="54"/>
    <x v="54"/>
    <x v="8"/>
    <x v="8"/>
    <x v="49"/>
    <x v="54"/>
    <x v="54"/>
  </r>
  <r>
    <x v="0"/>
    <x v="59"/>
    <x v="59"/>
    <x v="2"/>
    <x v="3"/>
    <x v="5"/>
    <x v="57"/>
    <x v="2"/>
    <x v="2"/>
    <x v="1"/>
    <x v="59"/>
    <x v="59"/>
    <x v="59"/>
    <x v="2"/>
    <x v="1"/>
    <x v="2"/>
    <x v="1"/>
    <x v="0"/>
    <x v="1"/>
    <x v="59"/>
    <x v="59"/>
    <x v="59"/>
    <x v="57"/>
    <x v="59"/>
    <x v="0"/>
    <x v="0"/>
    <x v="0"/>
    <x v="59"/>
    <x v="59"/>
    <x v="59"/>
    <x v="59"/>
    <x v="58"/>
    <x v="58"/>
    <x v="0"/>
    <x v="0"/>
    <x v="59"/>
    <x v="59"/>
    <x v="0"/>
    <x v="0"/>
    <x v="0"/>
    <x v="48"/>
    <x v="48"/>
    <x v="50"/>
    <x v="55"/>
    <x v="55"/>
    <x v="48"/>
    <x v="48"/>
    <x v="50"/>
    <x v="55"/>
    <x v="55"/>
    <x v="48"/>
    <x v="48"/>
    <x v="50"/>
    <x v="55"/>
    <x v="55"/>
    <x v="48"/>
    <x v="48"/>
    <x v="50"/>
    <x v="55"/>
    <x v="55"/>
  </r>
  <r>
    <x v="0"/>
    <x v="60"/>
    <x v="60"/>
    <x v="2"/>
    <x v="3"/>
    <x v="5"/>
    <x v="58"/>
    <x v="2"/>
    <x v="1"/>
    <x v="1"/>
    <x v="60"/>
    <x v="60"/>
    <x v="60"/>
    <x v="15"/>
    <x v="0"/>
    <x v="2"/>
    <x v="1"/>
    <x v="0"/>
    <x v="1"/>
    <x v="60"/>
    <x v="60"/>
    <x v="60"/>
    <x v="58"/>
    <x v="60"/>
    <x v="0"/>
    <x v="0"/>
    <x v="0"/>
    <x v="60"/>
    <x v="60"/>
    <x v="60"/>
    <x v="60"/>
    <x v="59"/>
    <x v="59"/>
    <x v="0"/>
    <x v="0"/>
    <x v="60"/>
    <x v="60"/>
    <x v="0"/>
    <x v="0"/>
    <x v="0"/>
    <x v="49"/>
    <x v="49"/>
    <x v="51"/>
    <x v="56"/>
    <x v="56"/>
    <x v="49"/>
    <x v="49"/>
    <x v="51"/>
    <x v="56"/>
    <x v="56"/>
    <x v="49"/>
    <x v="49"/>
    <x v="51"/>
    <x v="56"/>
    <x v="56"/>
    <x v="49"/>
    <x v="49"/>
    <x v="51"/>
    <x v="56"/>
    <x v="56"/>
  </r>
  <r>
    <x v="0"/>
    <x v="61"/>
    <x v="61"/>
    <x v="2"/>
    <x v="3"/>
    <x v="5"/>
    <x v="21"/>
    <x v="2"/>
    <x v="3"/>
    <x v="1"/>
    <x v="61"/>
    <x v="61"/>
    <x v="61"/>
    <x v="4"/>
    <x v="1"/>
    <x v="2"/>
    <x v="1"/>
    <x v="0"/>
    <x v="1"/>
    <x v="61"/>
    <x v="61"/>
    <x v="61"/>
    <x v="59"/>
    <x v="61"/>
    <x v="0"/>
    <x v="0"/>
    <x v="0"/>
    <x v="61"/>
    <x v="61"/>
    <x v="61"/>
    <x v="61"/>
    <x v="60"/>
    <x v="60"/>
    <x v="0"/>
    <x v="0"/>
    <x v="61"/>
    <x v="61"/>
    <x v="0"/>
    <x v="0"/>
    <x v="0"/>
    <x v="50"/>
    <x v="50"/>
    <x v="52"/>
    <x v="57"/>
    <x v="57"/>
    <x v="50"/>
    <x v="50"/>
    <x v="52"/>
    <x v="57"/>
    <x v="57"/>
    <x v="50"/>
    <x v="50"/>
    <x v="52"/>
    <x v="57"/>
    <x v="57"/>
    <x v="50"/>
    <x v="50"/>
    <x v="52"/>
    <x v="57"/>
    <x v="57"/>
  </r>
  <r>
    <x v="0"/>
    <x v="62"/>
    <x v="62"/>
    <x v="0"/>
    <x v="0"/>
    <x v="10"/>
    <x v="59"/>
    <x v="2"/>
    <x v="1"/>
    <x v="0"/>
    <x v="62"/>
    <x v="62"/>
    <x v="62"/>
    <x v="4"/>
    <x v="1"/>
    <x v="2"/>
    <x v="0"/>
    <x v="0"/>
    <x v="0"/>
    <x v="62"/>
    <x v="62"/>
    <x v="62"/>
    <x v="60"/>
    <x v="62"/>
    <x v="0"/>
    <x v="0"/>
    <x v="0"/>
    <x v="62"/>
    <x v="62"/>
    <x v="62"/>
    <x v="62"/>
    <x v="61"/>
    <x v="61"/>
    <x v="0"/>
    <x v="0"/>
    <x v="62"/>
    <x v="62"/>
    <x v="0"/>
    <x v="0"/>
    <x v="0"/>
    <x v="51"/>
    <x v="51"/>
    <x v="53"/>
    <x v="58"/>
    <x v="58"/>
    <x v="51"/>
    <x v="51"/>
    <x v="53"/>
    <x v="58"/>
    <x v="58"/>
    <x v="51"/>
    <x v="51"/>
    <x v="53"/>
    <x v="58"/>
    <x v="58"/>
    <x v="51"/>
    <x v="51"/>
    <x v="53"/>
    <x v="58"/>
    <x v="58"/>
  </r>
  <r>
    <x v="0"/>
    <x v="63"/>
    <x v="63"/>
    <x v="0"/>
    <x v="0"/>
    <x v="10"/>
    <x v="60"/>
    <x v="2"/>
    <x v="3"/>
    <x v="0"/>
    <x v="63"/>
    <x v="63"/>
    <x v="63"/>
    <x v="12"/>
    <x v="1"/>
    <x v="2"/>
    <x v="0"/>
    <x v="0"/>
    <x v="0"/>
    <x v="63"/>
    <x v="63"/>
    <x v="63"/>
    <x v="61"/>
    <x v="63"/>
    <x v="0"/>
    <x v="0"/>
    <x v="0"/>
    <x v="63"/>
    <x v="63"/>
    <x v="63"/>
    <x v="63"/>
    <x v="62"/>
    <x v="62"/>
    <x v="0"/>
    <x v="0"/>
    <x v="63"/>
    <x v="63"/>
    <x v="0"/>
    <x v="0"/>
    <x v="0"/>
    <x v="52"/>
    <x v="52"/>
    <x v="54"/>
    <x v="59"/>
    <x v="59"/>
    <x v="52"/>
    <x v="52"/>
    <x v="54"/>
    <x v="59"/>
    <x v="59"/>
    <x v="52"/>
    <x v="52"/>
    <x v="54"/>
    <x v="59"/>
    <x v="59"/>
    <x v="52"/>
    <x v="52"/>
    <x v="54"/>
    <x v="59"/>
    <x v="59"/>
  </r>
  <r>
    <x v="0"/>
    <x v="64"/>
    <x v="64"/>
    <x v="2"/>
    <x v="3"/>
    <x v="5"/>
    <x v="61"/>
    <x v="0"/>
    <x v="1"/>
    <x v="1"/>
    <x v="64"/>
    <x v="64"/>
    <x v="64"/>
    <x v="2"/>
    <x v="4"/>
    <x v="0"/>
    <x v="1"/>
    <x v="0"/>
    <x v="1"/>
    <x v="64"/>
    <x v="64"/>
    <x v="64"/>
    <x v="62"/>
    <x v="64"/>
    <x v="0"/>
    <x v="0"/>
    <x v="0"/>
    <x v="64"/>
    <x v="64"/>
    <x v="64"/>
    <x v="64"/>
    <x v="63"/>
    <x v="63"/>
    <x v="0"/>
    <x v="0"/>
    <x v="64"/>
    <x v="64"/>
    <x v="0"/>
    <x v="0"/>
    <x v="0"/>
    <x v="53"/>
    <x v="53"/>
    <x v="55"/>
    <x v="60"/>
    <x v="60"/>
    <x v="53"/>
    <x v="53"/>
    <x v="55"/>
    <x v="60"/>
    <x v="60"/>
    <x v="53"/>
    <x v="53"/>
    <x v="55"/>
    <x v="60"/>
    <x v="60"/>
    <x v="53"/>
    <x v="53"/>
    <x v="55"/>
    <x v="60"/>
    <x v="60"/>
  </r>
  <r>
    <x v="0"/>
    <x v="65"/>
    <x v="65"/>
    <x v="2"/>
    <x v="3"/>
    <x v="5"/>
    <x v="62"/>
    <x v="0"/>
    <x v="0"/>
    <x v="1"/>
    <x v="65"/>
    <x v="65"/>
    <x v="65"/>
    <x v="2"/>
    <x v="1"/>
    <x v="0"/>
    <x v="1"/>
    <x v="0"/>
    <x v="1"/>
    <x v="65"/>
    <x v="65"/>
    <x v="65"/>
    <x v="63"/>
    <x v="65"/>
    <x v="0"/>
    <x v="0"/>
    <x v="0"/>
    <x v="65"/>
    <x v="65"/>
    <x v="65"/>
    <x v="65"/>
    <x v="64"/>
    <x v="64"/>
    <x v="0"/>
    <x v="0"/>
    <x v="65"/>
    <x v="65"/>
    <x v="0"/>
    <x v="0"/>
    <x v="0"/>
    <x v="54"/>
    <x v="54"/>
    <x v="56"/>
    <x v="61"/>
    <x v="61"/>
    <x v="54"/>
    <x v="54"/>
    <x v="56"/>
    <x v="61"/>
    <x v="61"/>
    <x v="54"/>
    <x v="54"/>
    <x v="56"/>
    <x v="61"/>
    <x v="61"/>
    <x v="54"/>
    <x v="54"/>
    <x v="56"/>
    <x v="61"/>
    <x v="61"/>
  </r>
  <r>
    <x v="0"/>
    <x v="66"/>
    <x v="66"/>
    <x v="2"/>
    <x v="3"/>
    <x v="5"/>
    <x v="63"/>
    <x v="2"/>
    <x v="3"/>
    <x v="1"/>
    <x v="66"/>
    <x v="66"/>
    <x v="66"/>
    <x v="19"/>
    <x v="3"/>
    <x v="2"/>
    <x v="1"/>
    <x v="0"/>
    <x v="1"/>
    <x v="66"/>
    <x v="66"/>
    <x v="66"/>
    <x v="24"/>
    <x v="66"/>
    <x v="0"/>
    <x v="0"/>
    <x v="0"/>
    <x v="66"/>
    <x v="66"/>
    <x v="66"/>
    <x v="66"/>
    <x v="65"/>
    <x v="65"/>
    <x v="0"/>
    <x v="0"/>
    <x v="66"/>
    <x v="66"/>
    <x v="0"/>
    <x v="0"/>
    <x v="0"/>
    <x v="55"/>
    <x v="55"/>
    <x v="57"/>
    <x v="62"/>
    <x v="62"/>
    <x v="55"/>
    <x v="55"/>
    <x v="57"/>
    <x v="62"/>
    <x v="62"/>
    <x v="55"/>
    <x v="55"/>
    <x v="57"/>
    <x v="62"/>
    <x v="62"/>
    <x v="55"/>
    <x v="55"/>
    <x v="57"/>
    <x v="62"/>
    <x v="62"/>
  </r>
  <r>
    <x v="0"/>
    <x v="67"/>
    <x v="67"/>
    <x v="0"/>
    <x v="0"/>
    <x v="7"/>
    <x v="64"/>
    <x v="2"/>
    <x v="0"/>
    <x v="0"/>
    <x v="67"/>
    <x v="67"/>
    <x v="67"/>
    <x v="20"/>
    <x v="9"/>
    <x v="3"/>
    <x v="0"/>
    <x v="0"/>
    <x v="0"/>
    <x v="67"/>
    <x v="67"/>
    <x v="67"/>
    <x v="64"/>
    <x v="67"/>
    <x v="0"/>
    <x v="0"/>
    <x v="0"/>
    <x v="67"/>
    <x v="67"/>
    <x v="67"/>
    <x v="67"/>
    <x v="66"/>
    <x v="66"/>
    <x v="0"/>
    <x v="0"/>
    <x v="67"/>
    <x v="67"/>
    <x v="0"/>
    <x v="0"/>
    <x v="2"/>
    <x v="56"/>
    <x v="56"/>
    <x v="58"/>
    <x v="63"/>
    <x v="63"/>
    <x v="56"/>
    <x v="56"/>
    <x v="58"/>
    <x v="63"/>
    <x v="63"/>
    <x v="56"/>
    <x v="56"/>
    <x v="58"/>
    <x v="63"/>
    <x v="63"/>
    <x v="56"/>
    <x v="56"/>
    <x v="58"/>
    <x v="63"/>
    <x v="63"/>
  </r>
  <r>
    <x v="0"/>
    <x v="68"/>
    <x v="68"/>
    <x v="0"/>
    <x v="0"/>
    <x v="13"/>
    <x v="65"/>
    <x v="0"/>
    <x v="0"/>
    <x v="0"/>
    <x v="68"/>
    <x v="68"/>
    <x v="68"/>
    <x v="20"/>
    <x v="9"/>
    <x v="3"/>
    <x v="0"/>
    <x v="0"/>
    <x v="0"/>
    <x v="68"/>
    <x v="68"/>
    <x v="68"/>
    <x v="65"/>
    <x v="68"/>
    <x v="0"/>
    <x v="0"/>
    <x v="0"/>
    <x v="68"/>
    <x v="68"/>
    <x v="68"/>
    <x v="68"/>
    <x v="67"/>
    <x v="67"/>
    <x v="0"/>
    <x v="0"/>
    <x v="68"/>
    <x v="68"/>
    <x v="0"/>
    <x v="0"/>
    <x v="2"/>
    <x v="57"/>
    <x v="57"/>
    <x v="59"/>
    <x v="64"/>
    <x v="64"/>
    <x v="57"/>
    <x v="57"/>
    <x v="59"/>
    <x v="64"/>
    <x v="64"/>
    <x v="57"/>
    <x v="57"/>
    <x v="59"/>
    <x v="64"/>
    <x v="64"/>
    <x v="57"/>
    <x v="57"/>
    <x v="59"/>
    <x v="64"/>
    <x v="64"/>
  </r>
  <r>
    <x v="0"/>
    <x v="69"/>
    <x v="69"/>
    <x v="2"/>
    <x v="3"/>
    <x v="14"/>
    <x v="66"/>
    <x v="0"/>
    <x v="2"/>
    <x v="1"/>
    <x v="69"/>
    <x v="69"/>
    <x v="69"/>
    <x v="20"/>
    <x v="9"/>
    <x v="3"/>
    <x v="1"/>
    <x v="0"/>
    <x v="1"/>
    <x v="69"/>
    <x v="69"/>
    <x v="67"/>
    <x v="66"/>
    <x v="69"/>
    <x v="0"/>
    <x v="0"/>
    <x v="0"/>
    <x v="68"/>
    <x v="68"/>
    <x v="68"/>
    <x v="68"/>
    <x v="67"/>
    <x v="67"/>
    <x v="0"/>
    <x v="0"/>
    <x v="69"/>
    <x v="69"/>
    <x v="0"/>
    <x v="0"/>
    <x v="2"/>
    <x v="57"/>
    <x v="57"/>
    <x v="59"/>
    <x v="64"/>
    <x v="64"/>
    <x v="57"/>
    <x v="57"/>
    <x v="59"/>
    <x v="64"/>
    <x v="64"/>
    <x v="57"/>
    <x v="57"/>
    <x v="59"/>
    <x v="64"/>
    <x v="64"/>
    <x v="57"/>
    <x v="57"/>
    <x v="59"/>
    <x v="64"/>
    <x v="64"/>
  </r>
  <r>
    <x v="0"/>
    <x v="70"/>
    <x v="70"/>
    <x v="0"/>
    <x v="0"/>
    <x v="12"/>
    <x v="67"/>
    <x v="1"/>
    <x v="4"/>
    <x v="2"/>
    <x v="70"/>
    <x v="70"/>
    <x v="70"/>
    <x v="20"/>
    <x v="9"/>
    <x v="3"/>
    <x v="2"/>
    <x v="1"/>
    <x v="0"/>
    <x v="70"/>
    <x v="70"/>
    <x v="67"/>
    <x v="24"/>
    <x v="29"/>
    <x v="0"/>
    <x v="0"/>
    <x v="0"/>
    <x v="69"/>
    <x v="69"/>
    <x v="69"/>
    <x v="69"/>
    <x v="68"/>
    <x v="68"/>
    <x v="0"/>
    <x v="0"/>
    <x v="70"/>
    <x v="68"/>
    <x v="0"/>
    <x v="0"/>
    <x v="2"/>
    <x v="58"/>
    <x v="58"/>
    <x v="60"/>
    <x v="65"/>
    <x v="65"/>
    <x v="58"/>
    <x v="58"/>
    <x v="60"/>
    <x v="65"/>
    <x v="65"/>
    <x v="58"/>
    <x v="58"/>
    <x v="60"/>
    <x v="65"/>
    <x v="65"/>
    <x v="58"/>
    <x v="58"/>
    <x v="60"/>
    <x v="65"/>
    <x v="65"/>
  </r>
  <r>
    <x v="0"/>
    <x v="71"/>
    <x v="71"/>
    <x v="2"/>
    <x v="3"/>
    <x v="5"/>
    <x v="68"/>
    <x v="0"/>
    <x v="2"/>
    <x v="1"/>
    <x v="71"/>
    <x v="71"/>
    <x v="71"/>
    <x v="20"/>
    <x v="9"/>
    <x v="3"/>
    <x v="1"/>
    <x v="0"/>
    <x v="1"/>
    <x v="71"/>
    <x v="71"/>
    <x v="67"/>
    <x v="67"/>
    <x v="70"/>
    <x v="0"/>
    <x v="0"/>
    <x v="0"/>
    <x v="68"/>
    <x v="68"/>
    <x v="68"/>
    <x v="68"/>
    <x v="67"/>
    <x v="67"/>
    <x v="0"/>
    <x v="0"/>
    <x v="71"/>
    <x v="70"/>
    <x v="0"/>
    <x v="0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72"/>
    <x v="72"/>
    <x v="0"/>
    <x v="0"/>
    <x v="15"/>
    <x v="69"/>
    <x v="0"/>
    <x v="0"/>
    <x v="0"/>
    <x v="72"/>
    <x v="72"/>
    <x v="72"/>
    <x v="20"/>
    <x v="9"/>
    <x v="3"/>
    <x v="0"/>
    <x v="0"/>
    <x v="0"/>
    <x v="72"/>
    <x v="72"/>
    <x v="67"/>
    <x v="64"/>
    <x v="71"/>
    <x v="0"/>
    <x v="0"/>
    <x v="0"/>
    <x v="68"/>
    <x v="68"/>
    <x v="68"/>
    <x v="68"/>
    <x v="67"/>
    <x v="67"/>
    <x v="0"/>
    <x v="0"/>
    <x v="72"/>
    <x v="71"/>
    <x v="0"/>
    <x v="0"/>
    <x v="2"/>
    <x v="57"/>
    <x v="57"/>
    <x v="59"/>
    <x v="64"/>
    <x v="64"/>
    <x v="57"/>
    <x v="57"/>
    <x v="59"/>
    <x v="64"/>
    <x v="64"/>
    <x v="57"/>
    <x v="57"/>
    <x v="59"/>
    <x v="64"/>
    <x v="64"/>
    <x v="57"/>
    <x v="57"/>
    <x v="59"/>
    <x v="64"/>
    <x v="64"/>
  </r>
  <r>
    <x v="0"/>
    <x v="73"/>
    <x v="73"/>
    <x v="2"/>
    <x v="3"/>
    <x v="16"/>
    <x v="70"/>
    <x v="2"/>
    <x v="2"/>
    <x v="1"/>
    <x v="73"/>
    <x v="73"/>
    <x v="73"/>
    <x v="20"/>
    <x v="9"/>
    <x v="3"/>
    <x v="1"/>
    <x v="0"/>
    <x v="1"/>
    <x v="73"/>
    <x v="73"/>
    <x v="67"/>
    <x v="68"/>
    <x v="72"/>
    <x v="0"/>
    <x v="0"/>
    <x v="0"/>
    <x v="67"/>
    <x v="67"/>
    <x v="67"/>
    <x v="67"/>
    <x v="66"/>
    <x v="66"/>
    <x v="0"/>
    <x v="0"/>
    <x v="73"/>
    <x v="72"/>
    <x v="0"/>
    <x v="0"/>
    <x v="2"/>
    <x v="56"/>
    <x v="56"/>
    <x v="58"/>
    <x v="63"/>
    <x v="63"/>
    <x v="56"/>
    <x v="56"/>
    <x v="58"/>
    <x v="63"/>
    <x v="63"/>
    <x v="56"/>
    <x v="56"/>
    <x v="58"/>
    <x v="63"/>
    <x v="63"/>
    <x v="56"/>
    <x v="56"/>
    <x v="58"/>
    <x v="63"/>
    <x v="63"/>
  </r>
  <r>
    <x v="0"/>
    <x v="74"/>
    <x v="74"/>
    <x v="2"/>
    <x v="3"/>
    <x v="17"/>
    <x v="71"/>
    <x v="2"/>
    <x v="2"/>
    <x v="1"/>
    <x v="74"/>
    <x v="74"/>
    <x v="74"/>
    <x v="20"/>
    <x v="9"/>
    <x v="3"/>
    <x v="1"/>
    <x v="0"/>
    <x v="1"/>
    <x v="74"/>
    <x v="74"/>
    <x v="67"/>
    <x v="69"/>
    <x v="73"/>
    <x v="0"/>
    <x v="0"/>
    <x v="0"/>
    <x v="67"/>
    <x v="67"/>
    <x v="67"/>
    <x v="67"/>
    <x v="66"/>
    <x v="66"/>
    <x v="0"/>
    <x v="0"/>
    <x v="74"/>
    <x v="73"/>
    <x v="0"/>
    <x v="0"/>
    <x v="2"/>
    <x v="56"/>
    <x v="56"/>
    <x v="58"/>
    <x v="63"/>
    <x v="63"/>
    <x v="56"/>
    <x v="56"/>
    <x v="58"/>
    <x v="63"/>
    <x v="63"/>
    <x v="56"/>
    <x v="56"/>
    <x v="58"/>
    <x v="63"/>
    <x v="63"/>
    <x v="56"/>
    <x v="56"/>
    <x v="58"/>
    <x v="63"/>
    <x v="63"/>
  </r>
  <r>
    <x v="0"/>
    <x v="75"/>
    <x v="75"/>
    <x v="2"/>
    <x v="3"/>
    <x v="17"/>
    <x v="72"/>
    <x v="2"/>
    <x v="2"/>
    <x v="1"/>
    <x v="75"/>
    <x v="75"/>
    <x v="75"/>
    <x v="20"/>
    <x v="9"/>
    <x v="3"/>
    <x v="1"/>
    <x v="0"/>
    <x v="1"/>
    <x v="75"/>
    <x v="75"/>
    <x v="67"/>
    <x v="70"/>
    <x v="74"/>
    <x v="0"/>
    <x v="0"/>
    <x v="0"/>
    <x v="67"/>
    <x v="67"/>
    <x v="67"/>
    <x v="67"/>
    <x v="66"/>
    <x v="66"/>
    <x v="0"/>
    <x v="0"/>
    <x v="75"/>
    <x v="74"/>
    <x v="0"/>
    <x v="0"/>
    <x v="2"/>
    <x v="56"/>
    <x v="56"/>
    <x v="58"/>
    <x v="63"/>
    <x v="63"/>
    <x v="56"/>
    <x v="56"/>
    <x v="58"/>
    <x v="63"/>
    <x v="63"/>
    <x v="56"/>
    <x v="56"/>
    <x v="58"/>
    <x v="63"/>
    <x v="63"/>
    <x v="56"/>
    <x v="56"/>
    <x v="58"/>
    <x v="63"/>
    <x v="63"/>
  </r>
  <r>
    <x v="0"/>
    <x v="76"/>
    <x v="76"/>
    <x v="2"/>
    <x v="3"/>
    <x v="11"/>
    <x v="70"/>
    <x v="0"/>
    <x v="2"/>
    <x v="1"/>
    <x v="76"/>
    <x v="76"/>
    <x v="76"/>
    <x v="20"/>
    <x v="9"/>
    <x v="3"/>
    <x v="1"/>
    <x v="0"/>
    <x v="1"/>
    <x v="76"/>
    <x v="76"/>
    <x v="67"/>
    <x v="71"/>
    <x v="75"/>
    <x v="0"/>
    <x v="0"/>
    <x v="0"/>
    <x v="70"/>
    <x v="70"/>
    <x v="70"/>
    <x v="70"/>
    <x v="69"/>
    <x v="69"/>
    <x v="0"/>
    <x v="0"/>
    <x v="76"/>
    <x v="75"/>
    <x v="0"/>
    <x v="0"/>
    <x v="2"/>
    <x v="59"/>
    <x v="59"/>
    <x v="61"/>
    <x v="66"/>
    <x v="66"/>
    <x v="59"/>
    <x v="59"/>
    <x v="61"/>
    <x v="66"/>
    <x v="66"/>
    <x v="59"/>
    <x v="59"/>
    <x v="61"/>
    <x v="66"/>
    <x v="66"/>
    <x v="59"/>
    <x v="59"/>
    <x v="61"/>
    <x v="66"/>
    <x v="66"/>
  </r>
  <r>
    <x v="0"/>
    <x v="77"/>
    <x v="77"/>
    <x v="2"/>
    <x v="3"/>
    <x v="11"/>
    <x v="73"/>
    <x v="2"/>
    <x v="2"/>
    <x v="1"/>
    <x v="77"/>
    <x v="77"/>
    <x v="77"/>
    <x v="20"/>
    <x v="9"/>
    <x v="3"/>
    <x v="1"/>
    <x v="0"/>
    <x v="1"/>
    <x v="77"/>
    <x v="77"/>
    <x v="67"/>
    <x v="72"/>
    <x v="76"/>
    <x v="0"/>
    <x v="0"/>
    <x v="0"/>
    <x v="67"/>
    <x v="67"/>
    <x v="67"/>
    <x v="67"/>
    <x v="66"/>
    <x v="66"/>
    <x v="0"/>
    <x v="0"/>
    <x v="77"/>
    <x v="76"/>
    <x v="0"/>
    <x v="0"/>
    <x v="2"/>
    <x v="56"/>
    <x v="56"/>
    <x v="58"/>
    <x v="63"/>
    <x v="63"/>
    <x v="56"/>
    <x v="56"/>
    <x v="58"/>
    <x v="63"/>
    <x v="63"/>
    <x v="56"/>
    <x v="56"/>
    <x v="58"/>
    <x v="63"/>
    <x v="63"/>
    <x v="56"/>
    <x v="56"/>
    <x v="58"/>
    <x v="63"/>
    <x v="63"/>
  </r>
  <r>
    <x v="0"/>
    <x v="78"/>
    <x v="78"/>
    <x v="2"/>
    <x v="3"/>
    <x v="5"/>
    <x v="74"/>
    <x v="2"/>
    <x v="2"/>
    <x v="1"/>
    <x v="78"/>
    <x v="78"/>
    <x v="78"/>
    <x v="20"/>
    <x v="9"/>
    <x v="3"/>
    <x v="1"/>
    <x v="0"/>
    <x v="1"/>
    <x v="78"/>
    <x v="78"/>
    <x v="69"/>
    <x v="24"/>
    <x v="77"/>
    <x v="0"/>
    <x v="0"/>
    <x v="0"/>
    <x v="71"/>
    <x v="71"/>
    <x v="71"/>
    <x v="71"/>
    <x v="70"/>
    <x v="70"/>
    <x v="0"/>
    <x v="0"/>
    <x v="78"/>
    <x v="77"/>
    <x v="0"/>
    <x v="0"/>
    <x v="2"/>
    <x v="60"/>
    <x v="60"/>
    <x v="62"/>
    <x v="67"/>
    <x v="67"/>
    <x v="60"/>
    <x v="60"/>
    <x v="62"/>
    <x v="67"/>
    <x v="67"/>
    <x v="60"/>
    <x v="60"/>
    <x v="62"/>
    <x v="67"/>
    <x v="67"/>
    <x v="60"/>
    <x v="60"/>
    <x v="62"/>
    <x v="67"/>
    <x v="67"/>
  </r>
  <r>
    <x v="0"/>
    <x v="79"/>
    <x v="79"/>
    <x v="2"/>
    <x v="3"/>
    <x v="5"/>
    <x v="75"/>
    <x v="0"/>
    <x v="1"/>
    <x v="1"/>
    <x v="68"/>
    <x v="79"/>
    <x v="79"/>
    <x v="20"/>
    <x v="9"/>
    <x v="3"/>
    <x v="1"/>
    <x v="0"/>
    <x v="1"/>
    <x v="79"/>
    <x v="79"/>
    <x v="70"/>
    <x v="73"/>
    <x v="78"/>
    <x v="0"/>
    <x v="0"/>
    <x v="0"/>
    <x v="72"/>
    <x v="72"/>
    <x v="72"/>
    <x v="72"/>
    <x v="71"/>
    <x v="71"/>
    <x v="0"/>
    <x v="0"/>
    <x v="79"/>
    <x v="78"/>
    <x v="0"/>
    <x v="0"/>
    <x v="2"/>
    <x v="0"/>
    <x v="0"/>
    <x v="0"/>
    <x v="68"/>
    <x v="68"/>
    <x v="0"/>
    <x v="0"/>
    <x v="0"/>
    <x v="68"/>
    <x v="68"/>
    <x v="0"/>
    <x v="0"/>
    <x v="0"/>
    <x v="68"/>
    <x v="68"/>
    <x v="0"/>
    <x v="0"/>
    <x v="0"/>
    <x v="68"/>
    <x v="68"/>
  </r>
  <r>
    <x v="0"/>
    <x v="80"/>
    <x v="80"/>
    <x v="0"/>
    <x v="0"/>
    <x v="18"/>
    <x v="76"/>
    <x v="1"/>
    <x v="0"/>
    <x v="0"/>
    <x v="79"/>
    <x v="80"/>
    <x v="80"/>
    <x v="12"/>
    <x v="1"/>
    <x v="2"/>
    <x v="0"/>
    <x v="0"/>
    <x v="0"/>
    <x v="80"/>
    <x v="80"/>
    <x v="71"/>
    <x v="74"/>
    <x v="29"/>
    <x v="0"/>
    <x v="0"/>
    <x v="0"/>
    <x v="73"/>
    <x v="73"/>
    <x v="73"/>
    <x v="73"/>
    <x v="72"/>
    <x v="72"/>
    <x v="0"/>
    <x v="0"/>
    <x v="80"/>
    <x v="79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81"/>
    <x v="81"/>
    <x v="2"/>
    <x v="3"/>
    <x v="5"/>
    <x v="77"/>
    <x v="2"/>
    <x v="1"/>
    <x v="1"/>
    <x v="80"/>
    <x v="81"/>
    <x v="81"/>
    <x v="3"/>
    <x v="5"/>
    <x v="0"/>
    <x v="1"/>
    <x v="0"/>
    <x v="1"/>
    <x v="81"/>
    <x v="81"/>
    <x v="72"/>
    <x v="24"/>
    <x v="79"/>
    <x v="0"/>
    <x v="0"/>
    <x v="0"/>
    <x v="74"/>
    <x v="74"/>
    <x v="74"/>
    <x v="74"/>
    <x v="73"/>
    <x v="73"/>
    <x v="0"/>
    <x v="0"/>
    <x v="81"/>
    <x v="80"/>
    <x v="0"/>
    <x v="0"/>
    <x v="0"/>
    <x v="4"/>
    <x v="4"/>
    <x v="63"/>
    <x v="69"/>
    <x v="69"/>
    <x v="4"/>
    <x v="4"/>
    <x v="63"/>
    <x v="69"/>
    <x v="69"/>
    <x v="4"/>
    <x v="4"/>
    <x v="63"/>
    <x v="69"/>
    <x v="69"/>
    <x v="4"/>
    <x v="4"/>
    <x v="63"/>
    <x v="69"/>
    <x v="69"/>
  </r>
  <r>
    <x v="0"/>
    <x v="82"/>
    <x v="82"/>
    <x v="0"/>
    <x v="0"/>
    <x v="10"/>
    <x v="78"/>
    <x v="2"/>
    <x v="3"/>
    <x v="0"/>
    <x v="81"/>
    <x v="82"/>
    <x v="82"/>
    <x v="12"/>
    <x v="1"/>
    <x v="2"/>
    <x v="0"/>
    <x v="0"/>
    <x v="0"/>
    <x v="82"/>
    <x v="82"/>
    <x v="73"/>
    <x v="75"/>
    <x v="80"/>
    <x v="0"/>
    <x v="0"/>
    <x v="0"/>
    <x v="75"/>
    <x v="75"/>
    <x v="75"/>
    <x v="75"/>
    <x v="74"/>
    <x v="74"/>
    <x v="0"/>
    <x v="0"/>
    <x v="82"/>
    <x v="81"/>
    <x v="0"/>
    <x v="0"/>
    <x v="0"/>
    <x v="61"/>
    <x v="61"/>
    <x v="64"/>
    <x v="70"/>
    <x v="70"/>
    <x v="61"/>
    <x v="61"/>
    <x v="64"/>
    <x v="70"/>
    <x v="70"/>
    <x v="61"/>
    <x v="61"/>
    <x v="64"/>
    <x v="70"/>
    <x v="70"/>
    <x v="61"/>
    <x v="61"/>
    <x v="64"/>
    <x v="70"/>
    <x v="70"/>
  </r>
  <r>
    <x v="0"/>
    <x v="83"/>
    <x v="83"/>
    <x v="2"/>
    <x v="2"/>
    <x v="3"/>
    <x v="4"/>
    <x v="1"/>
    <x v="2"/>
    <x v="1"/>
    <x v="82"/>
    <x v="83"/>
    <x v="83"/>
    <x v="4"/>
    <x v="1"/>
    <x v="1"/>
    <x v="0"/>
    <x v="0"/>
    <x v="0"/>
    <x v="83"/>
    <x v="83"/>
    <x v="74"/>
    <x v="76"/>
    <x v="81"/>
    <x v="0"/>
    <x v="0"/>
    <x v="0"/>
    <x v="76"/>
    <x v="76"/>
    <x v="76"/>
    <x v="76"/>
    <x v="75"/>
    <x v="75"/>
    <x v="0"/>
    <x v="0"/>
    <x v="83"/>
    <x v="82"/>
    <x v="0"/>
    <x v="0"/>
    <x v="0"/>
    <x v="62"/>
    <x v="62"/>
    <x v="65"/>
    <x v="71"/>
    <x v="71"/>
    <x v="62"/>
    <x v="62"/>
    <x v="65"/>
    <x v="71"/>
    <x v="71"/>
    <x v="62"/>
    <x v="62"/>
    <x v="65"/>
    <x v="71"/>
    <x v="71"/>
    <x v="62"/>
    <x v="62"/>
    <x v="65"/>
    <x v="71"/>
    <x v="71"/>
  </r>
  <r>
    <x v="0"/>
    <x v="84"/>
    <x v="84"/>
    <x v="0"/>
    <x v="0"/>
    <x v="19"/>
    <x v="79"/>
    <x v="0"/>
    <x v="4"/>
    <x v="3"/>
    <x v="70"/>
    <x v="70"/>
    <x v="70"/>
    <x v="20"/>
    <x v="9"/>
    <x v="3"/>
    <x v="3"/>
    <x v="2"/>
    <x v="0"/>
    <x v="70"/>
    <x v="70"/>
    <x v="67"/>
    <x v="24"/>
    <x v="29"/>
    <x v="0"/>
    <x v="0"/>
    <x v="0"/>
    <x v="68"/>
    <x v="68"/>
    <x v="68"/>
    <x v="68"/>
    <x v="67"/>
    <x v="67"/>
    <x v="0"/>
    <x v="0"/>
    <x v="70"/>
    <x v="68"/>
    <x v="0"/>
    <x v="0"/>
    <x v="2"/>
    <x v="58"/>
    <x v="58"/>
    <x v="60"/>
    <x v="64"/>
    <x v="72"/>
    <x v="58"/>
    <x v="58"/>
    <x v="60"/>
    <x v="64"/>
    <x v="72"/>
    <x v="58"/>
    <x v="58"/>
    <x v="60"/>
    <x v="64"/>
    <x v="72"/>
    <x v="58"/>
    <x v="58"/>
    <x v="60"/>
    <x v="64"/>
    <x v="72"/>
  </r>
  <r>
    <x v="0"/>
    <x v="85"/>
    <x v="85"/>
    <x v="0"/>
    <x v="0"/>
    <x v="10"/>
    <x v="80"/>
    <x v="0"/>
    <x v="4"/>
    <x v="4"/>
    <x v="70"/>
    <x v="70"/>
    <x v="70"/>
    <x v="20"/>
    <x v="9"/>
    <x v="3"/>
    <x v="4"/>
    <x v="3"/>
    <x v="0"/>
    <x v="70"/>
    <x v="70"/>
    <x v="67"/>
    <x v="24"/>
    <x v="29"/>
    <x v="0"/>
    <x v="0"/>
    <x v="0"/>
    <x v="68"/>
    <x v="68"/>
    <x v="68"/>
    <x v="68"/>
    <x v="67"/>
    <x v="67"/>
    <x v="0"/>
    <x v="0"/>
    <x v="70"/>
    <x v="68"/>
    <x v="0"/>
    <x v="0"/>
    <x v="2"/>
    <x v="58"/>
    <x v="63"/>
    <x v="59"/>
    <x v="64"/>
    <x v="72"/>
    <x v="58"/>
    <x v="63"/>
    <x v="59"/>
    <x v="64"/>
    <x v="72"/>
    <x v="58"/>
    <x v="63"/>
    <x v="59"/>
    <x v="64"/>
    <x v="72"/>
    <x v="58"/>
    <x v="63"/>
    <x v="59"/>
    <x v="64"/>
    <x v="72"/>
  </r>
  <r>
    <x v="0"/>
    <x v="86"/>
    <x v="86"/>
    <x v="0"/>
    <x v="0"/>
    <x v="20"/>
    <x v="81"/>
    <x v="1"/>
    <x v="4"/>
    <x v="3"/>
    <x v="70"/>
    <x v="70"/>
    <x v="70"/>
    <x v="20"/>
    <x v="9"/>
    <x v="3"/>
    <x v="3"/>
    <x v="2"/>
    <x v="0"/>
    <x v="70"/>
    <x v="70"/>
    <x v="67"/>
    <x v="24"/>
    <x v="29"/>
    <x v="0"/>
    <x v="0"/>
    <x v="0"/>
    <x v="69"/>
    <x v="69"/>
    <x v="69"/>
    <x v="69"/>
    <x v="68"/>
    <x v="68"/>
    <x v="0"/>
    <x v="0"/>
    <x v="70"/>
    <x v="68"/>
    <x v="0"/>
    <x v="0"/>
    <x v="2"/>
    <x v="58"/>
    <x v="58"/>
    <x v="66"/>
    <x v="72"/>
    <x v="65"/>
    <x v="58"/>
    <x v="58"/>
    <x v="66"/>
    <x v="72"/>
    <x v="65"/>
    <x v="58"/>
    <x v="58"/>
    <x v="66"/>
    <x v="72"/>
    <x v="65"/>
    <x v="58"/>
    <x v="58"/>
    <x v="66"/>
    <x v="72"/>
    <x v="65"/>
  </r>
  <r>
    <x v="0"/>
    <x v="87"/>
    <x v="87"/>
    <x v="0"/>
    <x v="0"/>
    <x v="12"/>
    <x v="82"/>
    <x v="0"/>
    <x v="4"/>
    <x v="3"/>
    <x v="70"/>
    <x v="70"/>
    <x v="70"/>
    <x v="20"/>
    <x v="9"/>
    <x v="3"/>
    <x v="3"/>
    <x v="2"/>
    <x v="0"/>
    <x v="70"/>
    <x v="70"/>
    <x v="67"/>
    <x v="24"/>
    <x v="29"/>
    <x v="0"/>
    <x v="0"/>
    <x v="0"/>
    <x v="68"/>
    <x v="68"/>
    <x v="68"/>
    <x v="68"/>
    <x v="67"/>
    <x v="67"/>
    <x v="0"/>
    <x v="0"/>
    <x v="70"/>
    <x v="68"/>
    <x v="0"/>
    <x v="0"/>
    <x v="2"/>
    <x v="58"/>
    <x v="58"/>
    <x v="66"/>
    <x v="72"/>
    <x v="72"/>
    <x v="58"/>
    <x v="58"/>
    <x v="66"/>
    <x v="72"/>
    <x v="72"/>
    <x v="58"/>
    <x v="58"/>
    <x v="66"/>
    <x v="72"/>
    <x v="72"/>
    <x v="58"/>
    <x v="58"/>
    <x v="66"/>
    <x v="72"/>
    <x v="72"/>
  </r>
  <r>
    <x v="0"/>
    <x v="88"/>
    <x v="88"/>
    <x v="2"/>
    <x v="3"/>
    <x v="5"/>
    <x v="83"/>
    <x v="0"/>
    <x v="4"/>
    <x v="5"/>
    <x v="70"/>
    <x v="70"/>
    <x v="70"/>
    <x v="20"/>
    <x v="9"/>
    <x v="3"/>
    <x v="5"/>
    <x v="4"/>
    <x v="1"/>
    <x v="84"/>
    <x v="84"/>
    <x v="67"/>
    <x v="24"/>
    <x v="82"/>
    <x v="0"/>
    <x v="0"/>
    <x v="0"/>
    <x v="68"/>
    <x v="68"/>
    <x v="68"/>
    <x v="68"/>
    <x v="67"/>
    <x v="67"/>
    <x v="0"/>
    <x v="0"/>
    <x v="70"/>
    <x v="68"/>
    <x v="0"/>
    <x v="0"/>
    <x v="2"/>
    <x v="63"/>
    <x v="57"/>
    <x v="59"/>
    <x v="64"/>
    <x v="72"/>
    <x v="63"/>
    <x v="57"/>
    <x v="59"/>
    <x v="64"/>
    <x v="72"/>
    <x v="63"/>
    <x v="57"/>
    <x v="59"/>
    <x v="64"/>
    <x v="72"/>
    <x v="63"/>
    <x v="57"/>
    <x v="59"/>
    <x v="64"/>
    <x v="72"/>
  </r>
  <r>
    <x v="0"/>
    <x v="89"/>
    <x v="89"/>
    <x v="2"/>
    <x v="3"/>
    <x v="17"/>
    <x v="84"/>
    <x v="1"/>
    <x v="4"/>
    <x v="6"/>
    <x v="70"/>
    <x v="70"/>
    <x v="70"/>
    <x v="20"/>
    <x v="9"/>
    <x v="3"/>
    <x v="6"/>
    <x v="5"/>
    <x v="1"/>
    <x v="70"/>
    <x v="70"/>
    <x v="67"/>
    <x v="24"/>
    <x v="29"/>
    <x v="0"/>
    <x v="0"/>
    <x v="0"/>
    <x v="69"/>
    <x v="69"/>
    <x v="69"/>
    <x v="69"/>
    <x v="68"/>
    <x v="68"/>
    <x v="0"/>
    <x v="0"/>
    <x v="70"/>
    <x v="68"/>
    <x v="0"/>
    <x v="0"/>
    <x v="2"/>
    <x v="63"/>
    <x v="64"/>
    <x v="67"/>
    <x v="65"/>
    <x v="65"/>
    <x v="63"/>
    <x v="64"/>
    <x v="67"/>
    <x v="65"/>
    <x v="65"/>
    <x v="63"/>
    <x v="64"/>
    <x v="67"/>
    <x v="65"/>
    <x v="65"/>
    <x v="63"/>
    <x v="64"/>
    <x v="67"/>
    <x v="65"/>
    <x v="65"/>
  </r>
  <r>
    <x v="0"/>
    <x v="90"/>
    <x v="90"/>
    <x v="2"/>
    <x v="3"/>
    <x v="5"/>
    <x v="82"/>
    <x v="1"/>
    <x v="4"/>
    <x v="6"/>
    <x v="70"/>
    <x v="70"/>
    <x v="70"/>
    <x v="20"/>
    <x v="9"/>
    <x v="3"/>
    <x v="6"/>
    <x v="5"/>
    <x v="1"/>
    <x v="70"/>
    <x v="70"/>
    <x v="67"/>
    <x v="24"/>
    <x v="29"/>
    <x v="0"/>
    <x v="0"/>
    <x v="0"/>
    <x v="69"/>
    <x v="69"/>
    <x v="69"/>
    <x v="69"/>
    <x v="68"/>
    <x v="68"/>
    <x v="0"/>
    <x v="0"/>
    <x v="70"/>
    <x v="68"/>
    <x v="0"/>
    <x v="0"/>
    <x v="2"/>
    <x v="63"/>
    <x v="64"/>
    <x v="67"/>
    <x v="65"/>
    <x v="65"/>
    <x v="63"/>
    <x v="64"/>
    <x v="67"/>
    <x v="65"/>
    <x v="65"/>
    <x v="63"/>
    <x v="64"/>
    <x v="67"/>
    <x v="65"/>
    <x v="65"/>
    <x v="63"/>
    <x v="64"/>
    <x v="67"/>
    <x v="65"/>
    <x v="65"/>
  </r>
  <r>
    <x v="0"/>
    <x v="91"/>
    <x v="91"/>
    <x v="2"/>
    <x v="3"/>
    <x v="17"/>
    <x v="85"/>
    <x v="0"/>
    <x v="4"/>
    <x v="4"/>
    <x v="70"/>
    <x v="70"/>
    <x v="70"/>
    <x v="20"/>
    <x v="9"/>
    <x v="3"/>
    <x v="7"/>
    <x v="3"/>
    <x v="1"/>
    <x v="70"/>
    <x v="70"/>
    <x v="67"/>
    <x v="24"/>
    <x v="29"/>
    <x v="0"/>
    <x v="0"/>
    <x v="0"/>
    <x v="68"/>
    <x v="68"/>
    <x v="68"/>
    <x v="68"/>
    <x v="67"/>
    <x v="67"/>
    <x v="0"/>
    <x v="0"/>
    <x v="70"/>
    <x v="68"/>
    <x v="0"/>
    <x v="0"/>
    <x v="2"/>
    <x v="58"/>
    <x v="63"/>
    <x v="59"/>
    <x v="64"/>
    <x v="72"/>
    <x v="58"/>
    <x v="63"/>
    <x v="59"/>
    <x v="64"/>
    <x v="72"/>
    <x v="58"/>
    <x v="63"/>
    <x v="59"/>
    <x v="64"/>
    <x v="72"/>
    <x v="58"/>
    <x v="63"/>
    <x v="59"/>
    <x v="64"/>
    <x v="72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77"/>
    <x v="77"/>
    <x v="77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4"/>
    <x v="65"/>
    <x v="68"/>
    <x v="73"/>
    <x v="73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78"/>
    <x v="78"/>
    <x v="78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79"/>
    <x v="79"/>
    <x v="79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0"/>
    <x v="80"/>
    <x v="80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1"/>
    <x v="81"/>
    <x v="81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1"/>
    <x v="82"/>
    <x v="82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4"/>
    <x v="85"/>
    <x v="84"/>
    <x v="21"/>
    <x v="10"/>
    <x v="4"/>
    <x v="8"/>
    <x v="6"/>
    <x v="2"/>
    <x v="84"/>
    <x v="85"/>
    <x v="75"/>
    <x v="77"/>
    <x v="83"/>
    <x v="0"/>
    <x v="0"/>
    <x v="0"/>
    <x v="82"/>
    <x v="83"/>
    <x v="83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1"/>
    <x v="84"/>
    <x v="83"/>
    <x v="77"/>
    <x v="76"/>
    <x v="76"/>
    <x v="0"/>
    <x v="0"/>
    <x v="84"/>
    <x v="83"/>
    <x v="0"/>
    <x v="0"/>
    <x v="2"/>
    <x v="65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3"/>
    <x v="84"/>
    <x v="83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1"/>
    <x v="69"/>
    <x v="83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3"/>
  </r>
  <r>
    <x v="1"/>
    <x v="92"/>
    <x v="92"/>
    <x v="3"/>
    <x v="5"/>
    <x v="21"/>
    <x v="86"/>
    <x v="3"/>
    <x v="5"/>
    <x v="7"/>
    <x v="83"/>
    <x v="84"/>
    <x v="84"/>
    <x v="21"/>
    <x v="10"/>
    <x v="4"/>
    <x v="8"/>
    <x v="6"/>
    <x v="2"/>
    <x v="85"/>
    <x v="85"/>
    <x v="75"/>
    <x v="77"/>
    <x v="83"/>
    <x v="0"/>
    <x v="0"/>
    <x v="0"/>
    <x v="81"/>
    <x v="84"/>
    <x v="83"/>
    <x v="77"/>
    <x v="76"/>
    <x v="76"/>
    <x v="0"/>
    <x v="0"/>
    <x v="84"/>
    <x v="83"/>
    <x v="0"/>
    <x v="0"/>
    <x v="2"/>
    <x v="64"/>
    <x v="65"/>
    <x v="68"/>
    <x v="73"/>
    <x v="73"/>
    <x v="64"/>
    <x v="65"/>
    <x v="68"/>
    <x v="73"/>
    <x v="73"/>
    <x v="65"/>
    <x v="66"/>
    <x v="69"/>
    <x v="74"/>
    <x v="74"/>
    <x v="64"/>
    <x v="65"/>
    <x v="68"/>
    <x v="73"/>
    <x v="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1"/>
    <x v="0"/>
    <x v="1"/>
    <x v="1"/>
    <x v="1"/>
    <x v="1"/>
    <x v="0"/>
    <x v="0"/>
    <x v="0"/>
    <x v="0"/>
    <x v="0"/>
    <x v="0"/>
    <x v="1"/>
    <x v="1"/>
    <x v="0"/>
    <x v="0"/>
    <x v="0"/>
    <x v="0"/>
    <x v="0"/>
    <x v="0"/>
    <x v="0"/>
    <x v="1"/>
    <x v="1"/>
    <x v="0"/>
    <x v="1"/>
    <x v="0"/>
    <x v="1"/>
    <x v="1"/>
    <x v="1"/>
    <x v="0"/>
    <x v="0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2"/>
    <x v="2"/>
    <x v="1"/>
    <x v="1"/>
    <x v="1"/>
    <x v="2"/>
    <x v="0"/>
    <x v="2"/>
    <x v="2"/>
    <x v="2"/>
    <x v="2"/>
    <x v="0"/>
    <x v="1"/>
    <x v="0"/>
    <x v="1"/>
    <x v="0"/>
    <x v="1"/>
    <x v="2"/>
    <x v="2"/>
    <x v="0"/>
    <x v="0"/>
    <x v="0"/>
    <x v="0"/>
    <x v="0"/>
    <x v="0"/>
    <x v="0"/>
    <x v="2"/>
    <x v="2"/>
    <x v="1"/>
    <x v="2"/>
    <x v="0"/>
    <x v="2"/>
    <x v="2"/>
    <x v="2"/>
    <x v="0"/>
    <x v="0"/>
    <x v="0"/>
    <x v="2"/>
    <x v="2"/>
    <x v="0"/>
    <x v="0"/>
    <x v="0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0"/>
    <x v="3"/>
    <x v="3"/>
    <x v="1"/>
    <x v="1"/>
    <x v="2"/>
    <x v="3"/>
    <x v="0"/>
    <x v="3"/>
    <x v="3"/>
    <x v="3"/>
    <x v="3"/>
    <x v="1"/>
    <x v="2"/>
    <x v="0"/>
    <x v="1"/>
    <x v="0"/>
    <x v="1"/>
    <x v="3"/>
    <x v="3"/>
    <x v="0"/>
    <x v="0"/>
    <x v="0"/>
    <x v="0"/>
    <x v="0"/>
    <x v="0"/>
    <x v="0"/>
    <x v="3"/>
    <x v="3"/>
    <x v="0"/>
    <x v="3"/>
    <x v="0"/>
    <x v="3"/>
    <x v="3"/>
    <x v="3"/>
    <x v="0"/>
    <x v="0"/>
    <x v="0"/>
    <x v="3"/>
    <x v="3"/>
    <x v="0"/>
    <x v="0"/>
    <x v="0"/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0"/>
    <x v="4"/>
    <x v="4"/>
    <x v="1"/>
    <x v="1"/>
    <x v="1"/>
    <x v="4"/>
    <x v="0"/>
    <x v="3"/>
    <x v="4"/>
    <x v="4"/>
    <x v="4"/>
    <x v="1"/>
    <x v="0"/>
    <x v="0"/>
    <x v="1"/>
    <x v="0"/>
    <x v="1"/>
    <x v="4"/>
    <x v="4"/>
    <x v="0"/>
    <x v="0"/>
    <x v="0"/>
    <x v="0"/>
    <x v="0"/>
    <x v="0"/>
    <x v="0"/>
    <x v="4"/>
    <x v="4"/>
    <x v="0"/>
    <x v="4"/>
    <x v="0"/>
    <x v="4"/>
    <x v="4"/>
    <x v="4"/>
    <x v="0"/>
    <x v="0"/>
    <x v="0"/>
    <x v="4"/>
    <x v="4"/>
    <x v="0"/>
    <x v="0"/>
    <x v="0"/>
    <x v="0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0"/>
    <x v="5"/>
    <x v="5"/>
    <x v="0"/>
    <x v="0"/>
    <x v="0"/>
    <x v="5"/>
    <x v="0"/>
    <x v="1"/>
    <x v="5"/>
    <x v="5"/>
    <x v="5"/>
    <x v="1"/>
    <x v="0"/>
    <x v="0"/>
    <x v="0"/>
    <x v="0"/>
    <x v="0"/>
    <x v="5"/>
    <x v="5"/>
    <x v="0"/>
    <x v="0"/>
    <x v="0"/>
    <x v="0"/>
    <x v="0"/>
    <x v="0"/>
    <x v="0"/>
    <x v="5"/>
    <x v="5"/>
    <x v="0"/>
    <x v="5"/>
    <x v="0"/>
    <x v="5"/>
    <x v="5"/>
    <x v="5"/>
    <x v="0"/>
    <x v="0"/>
    <x v="0"/>
    <x v="5"/>
    <x v="5"/>
    <x v="0"/>
    <x v="0"/>
    <x v="0"/>
    <x v="0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0"/>
    <x v="6"/>
    <x v="6"/>
    <x v="1"/>
    <x v="1"/>
    <x v="2"/>
    <x v="6"/>
    <x v="0"/>
    <x v="4"/>
    <x v="6"/>
    <x v="6"/>
    <x v="6"/>
    <x v="2"/>
    <x v="3"/>
    <x v="1"/>
    <x v="1"/>
    <x v="0"/>
    <x v="1"/>
    <x v="6"/>
    <x v="6"/>
    <x v="0"/>
    <x v="0"/>
    <x v="0"/>
    <x v="0"/>
    <x v="0"/>
    <x v="0"/>
    <x v="0"/>
    <x v="6"/>
    <x v="6"/>
    <x v="0"/>
    <x v="6"/>
    <x v="0"/>
    <x v="6"/>
    <x v="6"/>
    <x v="6"/>
    <x v="0"/>
    <x v="0"/>
    <x v="0"/>
    <x v="6"/>
    <x v="6"/>
    <x v="0"/>
    <x v="0"/>
    <x v="0"/>
    <x v="0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</r>
  <r>
    <x v="0"/>
    <x v="7"/>
    <x v="7"/>
    <x v="1"/>
    <x v="1"/>
    <x v="1"/>
    <x v="7"/>
    <x v="0"/>
    <x v="1"/>
    <x v="7"/>
    <x v="7"/>
    <x v="7"/>
    <x v="3"/>
    <x v="4"/>
    <x v="0"/>
    <x v="1"/>
    <x v="0"/>
    <x v="1"/>
    <x v="7"/>
    <x v="7"/>
    <x v="0"/>
    <x v="0"/>
    <x v="0"/>
    <x v="0"/>
    <x v="0"/>
    <x v="0"/>
    <x v="0"/>
    <x v="7"/>
    <x v="7"/>
    <x v="0"/>
    <x v="7"/>
    <x v="0"/>
    <x v="7"/>
    <x v="7"/>
    <x v="7"/>
    <x v="0"/>
    <x v="0"/>
    <x v="0"/>
    <x v="7"/>
    <x v="7"/>
    <x v="0"/>
    <x v="0"/>
    <x v="0"/>
    <x v="0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</r>
  <r>
    <x v="0"/>
    <x v="8"/>
    <x v="8"/>
    <x v="1"/>
    <x v="1"/>
    <x v="3"/>
    <x v="8"/>
    <x v="0"/>
    <x v="3"/>
    <x v="8"/>
    <x v="8"/>
    <x v="8"/>
    <x v="4"/>
    <x v="5"/>
    <x v="2"/>
    <x v="1"/>
    <x v="0"/>
    <x v="1"/>
    <x v="8"/>
    <x v="8"/>
    <x v="0"/>
    <x v="0"/>
    <x v="0"/>
    <x v="0"/>
    <x v="0"/>
    <x v="0"/>
    <x v="0"/>
    <x v="8"/>
    <x v="8"/>
    <x v="0"/>
    <x v="8"/>
    <x v="0"/>
    <x v="8"/>
    <x v="8"/>
    <x v="8"/>
    <x v="0"/>
    <x v="0"/>
    <x v="0"/>
    <x v="8"/>
    <x v="8"/>
    <x v="0"/>
    <x v="0"/>
    <x v="0"/>
    <x v="0"/>
    <x v="8"/>
    <x v="8"/>
    <x v="8"/>
    <x v="8"/>
    <x v="8"/>
    <x v="6"/>
    <x v="8"/>
    <x v="6"/>
    <x v="8"/>
    <x v="8"/>
    <x v="6"/>
    <x v="8"/>
    <x v="6"/>
    <x v="8"/>
    <x v="8"/>
    <x v="6"/>
    <x v="8"/>
    <x v="6"/>
    <x v="8"/>
    <x v="8"/>
  </r>
  <r>
    <x v="0"/>
    <x v="9"/>
    <x v="9"/>
    <x v="1"/>
    <x v="1"/>
    <x v="1"/>
    <x v="9"/>
    <x v="1"/>
    <x v="4"/>
    <x v="9"/>
    <x v="9"/>
    <x v="9"/>
    <x v="5"/>
    <x v="0"/>
    <x v="3"/>
    <x v="1"/>
    <x v="0"/>
    <x v="1"/>
    <x v="9"/>
    <x v="9"/>
    <x v="0"/>
    <x v="0"/>
    <x v="0"/>
    <x v="0"/>
    <x v="0"/>
    <x v="0"/>
    <x v="0"/>
    <x v="9"/>
    <x v="9"/>
    <x v="0"/>
    <x v="9"/>
    <x v="0"/>
    <x v="9"/>
    <x v="9"/>
    <x v="9"/>
    <x v="0"/>
    <x v="0"/>
    <x v="0"/>
    <x v="9"/>
    <x v="9"/>
    <x v="0"/>
    <x v="0"/>
    <x v="0"/>
    <x v="0"/>
    <x v="9"/>
    <x v="9"/>
    <x v="9"/>
    <x v="9"/>
    <x v="9"/>
    <x v="8"/>
    <x v="9"/>
    <x v="8"/>
    <x v="9"/>
    <x v="9"/>
    <x v="8"/>
    <x v="9"/>
    <x v="8"/>
    <x v="9"/>
    <x v="9"/>
    <x v="8"/>
    <x v="9"/>
    <x v="8"/>
    <x v="9"/>
    <x v="9"/>
  </r>
  <r>
    <x v="0"/>
    <x v="10"/>
    <x v="10"/>
    <x v="1"/>
    <x v="1"/>
    <x v="4"/>
    <x v="10"/>
    <x v="1"/>
    <x v="4"/>
    <x v="10"/>
    <x v="10"/>
    <x v="10"/>
    <x v="4"/>
    <x v="5"/>
    <x v="4"/>
    <x v="1"/>
    <x v="0"/>
    <x v="1"/>
    <x v="10"/>
    <x v="10"/>
    <x v="0"/>
    <x v="0"/>
    <x v="0"/>
    <x v="0"/>
    <x v="0"/>
    <x v="0"/>
    <x v="0"/>
    <x v="10"/>
    <x v="10"/>
    <x v="0"/>
    <x v="10"/>
    <x v="0"/>
    <x v="10"/>
    <x v="10"/>
    <x v="10"/>
    <x v="0"/>
    <x v="0"/>
    <x v="0"/>
    <x v="10"/>
    <x v="10"/>
    <x v="0"/>
    <x v="0"/>
    <x v="0"/>
    <x v="0"/>
    <x v="10"/>
    <x v="10"/>
    <x v="10"/>
    <x v="10"/>
    <x v="10"/>
    <x v="8"/>
    <x v="10"/>
    <x v="9"/>
    <x v="10"/>
    <x v="10"/>
    <x v="8"/>
    <x v="10"/>
    <x v="9"/>
    <x v="10"/>
    <x v="10"/>
    <x v="8"/>
    <x v="10"/>
    <x v="9"/>
    <x v="10"/>
    <x v="10"/>
  </r>
  <r>
    <x v="0"/>
    <x v="11"/>
    <x v="11"/>
    <x v="1"/>
    <x v="1"/>
    <x v="1"/>
    <x v="11"/>
    <x v="0"/>
    <x v="1"/>
    <x v="11"/>
    <x v="11"/>
    <x v="11"/>
    <x v="6"/>
    <x v="6"/>
    <x v="0"/>
    <x v="1"/>
    <x v="0"/>
    <x v="1"/>
    <x v="11"/>
    <x v="11"/>
    <x v="0"/>
    <x v="0"/>
    <x v="0"/>
    <x v="0"/>
    <x v="0"/>
    <x v="0"/>
    <x v="0"/>
    <x v="11"/>
    <x v="11"/>
    <x v="2"/>
    <x v="11"/>
    <x v="0"/>
    <x v="11"/>
    <x v="11"/>
    <x v="11"/>
    <x v="0"/>
    <x v="0"/>
    <x v="0"/>
    <x v="11"/>
    <x v="11"/>
    <x v="0"/>
    <x v="0"/>
    <x v="0"/>
    <x v="0"/>
    <x v="11"/>
    <x v="11"/>
    <x v="11"/>
    <x v="11"/>
    <x v="11"/>
    <x v="9"/>
    <x v="11"/>
    <x v="10"/>
    <x v="11"/>
    <x v="11"/>
    <x v="9"/>
    <x v="11"/>
    <x v="10"/>
    <x v="11"/>
    <x v="11"/>
    <x v="9"/>
    <x v="11"/>
    <x v="10"/>
    <x v="11"/>
    <x v="11"/>
  </r>
  <r>
    <x v="0"/>
    <x v="12"/>
    <x v="12"/>
    <x v="1"/>
    <x v="1"/>
    <x v="1"/>
    <x v="12"/>
    <x v="0"/>
    <x v="3"/>
    <x v="12"/>
    <x v="12"/>
    <x v="12"/>
    <x v="0"/>
    <x v="0"/>
    <x v="0"/>
    <x v="1"/>
    <x v="0"/>
    <x v="1"/>
    <x v="12"/>
    <x v="12"/>
    <x v="0"/>
    <x v="0"/>
    <x v="0"/>
    <x v="0"/>
    <x v="0"/>
    <x v="0"/>
    <x v="0"/>
    <x v="12"/>
    <x v="12"/>
    <x v="0"/>
    <x v="12"/>
    <x v="0"/>
    <x v="12"/>
    <x v="12"/>
    <x v="12"/>
    <x v="0"/>
    <x v="0"/>
    <x v="0"/>
    <x v="12"/>
    <x v="12"/>
    <x v="0"/>
    <x v="0"/>
    <x v="0"/>
    <x v="0"/>
    <x v="12"/>
    <x v="12"/>
    <x v="12"/>
    <x v="12"/>
    <x v="12"/>
    <x v="10"/>
    <x v="12"/>
    <x v="11"/>
    <x v="12"/>
    <x v="12"/>
    <x v="10"/>
    <x v="12"/>
    <x v="11"/>
    <x v="12"/>
    <x v="12"/>
    <x v="10"/>
    <x v="12"/>
    <x v="11"/>
    <x v="12"/>
    <x v="12"/>
  </r>
  <r>
    <x v="0"/>
    <x v="13"/>
    <x v="13"/>
    <x v="1"/>
    <x v="2"/>
    <x v="5"/>
    <x v="13"/>
    <x v="0"/>
    <x v="4"/>
    <x v="13"/>
    <x v="13"/>
    <x v="13"/>
    <x v="7"/>
    <x v="0"/>
    <x v="0"/>
    <x v="0"/>
    <x v="0"/>
    <x v="0"/>
    <x v="13"/>
    <x v="13"/>
    <x v="0"/>
    <x v="0"/>
    <x v="0"/>
    <x v="0"/>
    <x v="0"/>
    <x v="0"/>
    <x v="0"/>
    <x v="13"/>
    <x v="13"/>
    <x v="3"/>
    <x v="13"/>
    <x v="0"/>
    <x v="13"/>
    <x v="13"/>
    <x v="13"/>
    <x v="0"/>
    <x v="0"/>
    <x v="0"/>
    <x v="13"/>
    <x v="13"/>
    <x v="0"/>
    <x v="0"/>
    <x v="0"/>
    <x v="0"/>
    <x v="13"/>
    <x v="13"/>
    <x v="13"/>
    <x v="13"/>
    <x v="13"/>
    <x v="11"/>
    <x v="13"/>
    <x v="12"/>
    <x v="13"/>
    <x v="10"/>
    <x v="11"/>
    <x v="13"/>
    <x v="12"/>
    <x v="13"/>
    <x v="10"/>
    <x v="11"/>
    <x v="13"/>
    <x v="12"/>
    <x v="13"/>
    <x v="10"/>
  </r>
  <r>
    <x v="0"/>
    <x v="14"/>
    <x v="14"/>
    <x v="1"/>
    <x v="1"/>
    <x v="1"/>
    <x v="14"/>
    <x v="0"/>
    <x v="2"/>
    <x v="14"/>
    <x v="14"/>
    <x v="14"/>
    <x v="8"/>
    <x v="0"/>
    <x v="0"/>
    <x v="1"/>
    <x v="0"/>
    <x v="1"/>
    <x v="14"/>
    <x v="14"/>
    <x v="0"/>
    <x v="0"/>
    <x v="0"/>
    <x v="0"/>
    <x v="0"/>
    <x v="0"/>
    <x v="0"/>
    <x v="14"/>
    <x v="14"/>
    <x v="0"/>
    <x v="14"/>
    <x v="0"/>
    <x v="14"/>
    <x v="14"/>
    <x v="14"/>
    <x v="0"/>
    <x v="0"/>
    <x v="0"/>
    <x v="14"/>
    <x v="14"/>
    <x v="0"/>
    <x v="0"/>
    <x v="0"/>
    <x v="0"/>
    <x v="14"/>
    <x v="14"/>
    <x v="14"/>
    <x v="14"/>
    <x v="14"/>
    <x v="12"/>
    <x v="14"/>
    <x v="13"/>
    <x v="14"/>
    <x v="13"/>
    <x v="12"/>
    <x v="14"/>
    <x v="13"/>
    <x v="14"/>
    <x v="13"/>
    <x v="12"/>
    <x v="14"/>
    <x v="13"/>
    <x v="14"/>
    <x v="13"/>
  </r>
  <r>
    <x v="0"/>
    <x v="15"/>
    <x v="15"/>
    <x v="1"/>
    <x v="1"/>
    <x v="1"/>
    <x v="15"/>
    <x v="0"/>
    <x v="2"/>
    <x v="15"/>
    <x v="15"/>
    <x v="15"/>
    <x v="1"/>
    <x v="0"/>
    <x v="0"/>
    <x v="1"/>
    <x v="0"/>
    <x v="1"/>
    <x v="15"/>
    <x v="15"/>
    <x v="0"/>
    <x v="0"/>
    <x v="0"/>
    <x v="0"/>
    <x v="0"/>
    <x v="0"/>
    <x v="0"/>
    <x v="15"/>
    <x v="15"/>
    <x v="4"/>
    <x v="15"/>
    <x v="0"/>
    <x v="15"/>
    <x v="15"/>
    <x v="15"/>
    <x v="0"/>
    <x v="0"/>
    <x v="0"/>
    <x v="15"/>
    <x v="15"/>
    <x v="0"/>
    <x v="0"/>
    <x v="0"/>
    <x v="0"/>
    <x v="15"/>
    <x v="15"/>
    <x v="15"/>
    <x v="15"/>
    <x v="15"/>
    <x v="13"/>
    <x v="15"/>
    <x v="14"/>
    <x v="15"/>
    <x v="14"/>
    <x v="13"/>
    <x v="15"/>
    <x v="14"/>
    <x v="15"/>
    <x v="14"/>
    <x v="13"/>
    <x v="15"/>
    <x v="14"/>
    <x v="15"/>
    <x v="14"/>
  </r>
  <r>
    <x v="0"/>
    <x v="16"/>
    <x v="16"/>
    <x v="0"/>
    <x v="0"/>
    <x v="6"/>
    <x v="16"/>
    <x v="0"/>
    <x v="5"/>
    <x v="16"/>
    <x v="16"/>
    <x v="16"/>
    <x v="9"/>
    <x v="0"/>
    <x v="3"/>
    <x v="0"/>
    <x v="0"/>
    <x v="0"/>
    <x v="16"/>
    <x v="16"/>
    <x v="0"/>
    <x v="0"/>
    <x v="0"/>
    <x v="0"/>
    <x v="0"/>
    <x v="0"/>
    <x v="0"/>
    <x v="16"/>
    <x v="16"/>
    <x v="0"/>
    <x v="16"/>
    <x v="0"/>
    <x v="16"/>
    <x v="16"/>
    <x v="16"/>
    <x v="0"/>
    <x v="0"/>
    <x v="0"/>
    <x v="16"/>
    <x v="16"/>
    <x v="0"/>
    <x v="0"/>
    <x v="0"/>
    <x v="0"/>
    <x v="16"/>
    <x v="16"/>
    <x v="16"/>
    <x v="16"/>
    <x v="16"/>
    <x v="14"/>
    <x v="16"/>
    <x v="15"/>
    <x v="16"/>
    <x v="15"/>
    <x v="14"/>
    <x v="16"/>
    <x v="15"/>
    <x v="16"/>
    <x v="15"/>
    <x v="14"/>
    <x v="16"/>
    <x v="15"/>
    <x v="16"/>
    <x v="15"/>
  </r>
  <r>
    <x v="0"/>
    <x v="17"/>
    <x v="17"/>
    <x v="1"/>
    <x v="1"/>
    <x v="1"/>
    <x v="17"/>
    <x v="0"/>
    <x v="4"/>
    <x v="17"/>
    <x v="17"/>
    <x v="17"/>
    <x v="10"/>
    <x v="0"/>
    <x v="0"/>
    <x v="1"/>
    <x v="0"/>
    <x v="1"/>
    <x v="17"/>
    <x v="17"/>
    <x v="0"/>
    <x v="0"/>
    <x v="0"/>
    <x v="0"/>
    <x v="0"/>
    <x v="0"/>
    <x v="0"/>
    <x v="17"/>
    <x v="17"/>
    <x v="0"/>
    <x v="17"/>
    <x v="0"/>
    <x v="17"/>
    <x v="17"/>
    <x v="17"/>
    <x v="0"/>
    <x v="0"/>
    <x v="0"/>
    <x v="17"/>
    <x v="17"/>
    <x v="0"/>
    <x v="0"/>
    <x v="0"/>
    <x v="0"/>
    <x v="17"/>
    <x v="17"/>
    <x v="17"/>
    <x v="17"/>
    <x v="17"/>
    <x v="15"/>
    <x v="17"/>
    <x v="16"/>
    <x v="17"/>
    <x v="16"/>
    <x v="15"/>
    <x v="17"/>
    <x v="16"/>
    <x v="17"/>
    <x v="16"/>
    <x v="15"/>
    <x v="17"/>
    <x v="16"/>
    <x v="17"/>
    <x v="16"/>
  </r>
  <r>
    <x v="0"/>
    <x v="18"/>
    <x v="18"/>
    <x v="1"/>
    <x v="1"/>
    <x v="3"/>
    <x v="18"/>
    <x v="0"/>
    <x v="3"/>
    <x v="18"/>
    <x v="18"/>
    <x v="18"/>
    <x v="11"/>
    <x v="3"/>
    <x v="5"/>
    <x v="1"/>
    <x v="0"/>
    <x v="1"/>
    <x v="18"/>
    <x v="18"/>
    <x v="0"/>
    <x v="0"/>
    <x v="0"/>
    <x v="0"/>
    <x v="0"/>
    <x v="0"/>
    <x v="0"/>
    <x v="18"/>
    <x v="18"/>
    <x v="0"/>
    <x v="18"/>
    <x v="0"/>
    <x v="18"/>
    <x v="18"/>
    <x v="13"/>
    <x v="0"/>
    <x v="0"/>
    <x v="0"/>
    <x v="18"/>
    <x v="18"/>
    <x v="0"/>
    <x v="0"/>
    <x v="0"/>
    <x v="0"/>
    <x v="18"/>
    <x v="18"/>
    <x v="18"/>
    <x v="18"/>
    <x v="18"/>
    <x v="16"/>
    <x v="18"/>
    <x v="17"/>
    <x v="18"/>
    <x v="17"/>
    <x v="16"/>
    <x v="18"/>
    <x v="17"/>
    <x v="18"/>
    <x v="17"/>
    <x v="16"/>
    <x v="18"/>
    <x v="17"/>
    <x v="18"/>
    <x v="17"/>
  </r>
  <r>
    <x v="0"/>
    <x v="19"/>
    <x v="19"/>
    <x v="1"/>
    <x v="1"/>
    <x v="1"/>
    <x v="19"/>
    <x v="0"/>
    <x v="2"/>
    <x v="19"/>
    <x v="19"/>
    <x v="19"/>
    <x v="12"/>
    <x v="4"/>
    <x v="0"/>
    <x v="1"/>
    <x v="0"/>
    <x v="1"/>
    <x v="19"/>
    <x v="19"/>
    <x v="0"/>
    <x v="0"/>
    <x v="0"/>
    <x v="0"/>
    <x v="0"/>
    <x v="0"/>
    <x v="0"/>
    <x v="19"/>
    <x v="19"/>
    <x v="5"/>
    <x v="19"/>
    <x v="0"/>
    <x v="19"/>
    <x v="19"/>
    <x v="18"/>
    <x v="0"/>
    <x v="0"/>
    <x v="0"/>
    <x v="19"/>
    <x v="19"/>
    <x v="0"/>
    <x v="0"/>
    <x v="0"/>
    <x v="0"/>
    <x v="19"/>
    <x v="19"/>
    <x v="19"/>
    <x v="19"/>
    <x v="19"/>
    <x v="17"/>
    <x v="19"/>
    <x v="18"/>
    <x v="19"/>
    <x v="18"/>
    <x v="17"/>
    <x v="19"/>
    <x v="18"/>
    <x v="19"/>
    <x v="18"/>
    <x v="17"/>
    <x v="19"/>
    <x v="18"/>
    <x v="19"/>
    <x v="18"/>
  </r>
  <r>
    <x v="0"/>
    <x v="20"/>
    <x v="20"/>
    <x v="1"/>
    <x v="2"/>
    <x v="5"/>
    <x v="20"/>
    <x v="0"/>
    <x v="4"/>
    <x v="20"/>
    <x v="20"/>
    <x v="20"/>
    <x v="1"/>
    <x v="7"/>
    <x v="0"/>
    <x v="0"/>
    <x v="0"/>
    <x v="0"/>
    <x v="20"/>
    <x v="20"/>
    <x v="0"/>
    <x v="0"/>
    <x v="0"/>
    <x v="0"/>
    <x v="0"/>
    <x v="0"/>
    <x v="0"/>
    <x v="20"/>
    <x v="20"/>
    <x v="6"/>
    <x v="20"/>
    <x v="0"/>
    <x v="20"/>
    <x v="20"/>
    <x v="19"/>
    <x v="0"/>
    <x v="0"/>
    <x v="0"/>
    <x v="20"/>
    <x v="20"/>
    <x v="0"/>
    <x v="0"/>
    <x v="0"/>
    <x v="0"/>
    <x v="20"/>
    <x v="20"/>
    <x v="20"/>
    <x v="20"/>
    <x v="20"/>
    <x v="18"/>
    <x v="20"/>
    <x v="19"/>
    <x v="20"/>
    <x v="19"/>
    <x v="18"/>
    <x v="20"/>
    <x v="19"/>
    <x v="20"/>
    <x v="19"/>
    <x v="18"/>
    <x v="20"/>
    <x v="19"/>
    <x v="20"/>
    <x v="19"/>
  </r>
  <r>
    <x v="0"/>
    <x v="21"/>
    <x v="21"/>
    <x v="1"/>
    <x v="1"/>
    <x v="1"/>
    <x v="21"/>
    <x v="0"/>
    <x v="2"/>
    <x v="21"/>
    <x v="21"/>
    <x v="21"/>
    <x v="9"/>
    <x v="8"/>
    <x v="3"/>
    <x v="1"/>
    <x v="0"/>
    <x v="1"/>
    <x v="21"/>
    <x v="21"/>
    <x v="0"/>
    <x v="0"/>
    <x v="0"/>
    <x v="0"/>
    <x v="0"/>
    <x v="0"/>
    <x v="0"/>
    <x v="21"/>
    <x v="21"/>
    <x v="0"/>
    <x v="21"/>
    <x v="0"/>
    <x v="21"/>
    <x v="21"/>
    <x v="20"/>
    <x v="0"/>
    <x v="0"/>
    <x v="0"/>
    <x v="21"/>
    <x v="21"/>
    <x v="0"/>
    <x v="0"/>
    <x v="0"/>
    <x v="0"/>
    <x v="21"/>
    <x v="21"/>
    <x v="21"/>
    <x v="21"/>
    <x v="21"/>
    <x v="19"/>
    <x v="21"/>
    <x v="20"/>
    <x v="21"/>
    <x v="20"/>
    <x v="19"/>
    <x v="21"/>
    <x v="20"/>
    <x v="21"/>
    <x v="20"/>
    <x v="19"/>
    <x v="21"/>
    <x v="20"/>
    <x v="21"/>
    <x v="20"/>
  </r>
  <r>
    <x v="0"/>
    <x v="22"/>
    <x v="22"/>
    <x v="0"/>
    <x v="0"/>
    <x v="7"/>
    <x v="22"/>
    <x v="0"/>
    <x v="5"/>
    <x v="22"/>
    <x v="22"/>
    <x v="22"/>
    <x v="13"/>
    <x v="7"/>
    <x v="0"/>
    <x v="0"/>
    <x v="0"/>
    <x v="0"/>
    <x v="22"/>
    <x v="22"/>
    <x v="0"/>
    <x v="0"/>
    <x v="0"/>
    <x v="0"/>
    <x v="0"/>
    <x v="0"/>
    <x v="0"/>
    <x v="22"/>
    <x v="22"/>
    <x v="0"/>
    <x v="22"/>
    <x v="0"/>
    <x v="22"/>
    <x v="22"/>
    <x v="21"/>
    <x v="0"/>
    <x v="0"/>
    <x v="0"/>
    <x v="22"/>
    <x v="22"/>
    <x v="0"/>
    <x v="0"/>
    <x v="0"/>
    <x v="0"/>
    <x v="22"/>
    <x v="22"/>
    <x v="22"/>
    <x v="22"/>
    <x v="22"/>
    <x v="20"/>
    <x v="22"/>
    <x v="21"/>
    <x v="22"/>
    <x v="21"/>
    <x v="20"/>
    <x v="22"/>
    <x v="21"/>
    <x v="22"/>
    <x v="21"/>
    <x v="20"/>
    <x v="22"/>
    <x v="21"/>
    <x v="22"/>
    <x v="21"/>
  </r>
  <r>
    <x v="0"/>
    <x v="23"/>
    <x v="23"/>
    <x v="2"/>
    <x v="3"/>
    <x v="8"/>
    <x v="23"/>
    <x v="1"/>
    <x v="3"/>
    <x v="23"/>
    <x v="23"/>
    <x v="23"/>
    <x v="1"/>
    <x v="4"/>
    <x v="6"/>
    <x v="0"/>
    <x v="0"/>
    <x v="0"/>
    <x v="23"/>
    <x v="23"/>
    <x v="0"/>
    <x v="0"/>
    <x v="0"/>
    <x v="0"/>
    <x v="0"/>
    <x v="0"/>
    <x v="0"/>
    <x v="23"/>
    <x v="23"/>
    <x v="0"/>
    <x v="23"/>
    <x v="0"/>
    <x v="23"/>
    <x v="23"/>
    <x v="22"/>
    <x v="0"/>
    <x v="0"/>
    <x v="0"/>
    <x v="23"/>
    <x v="23"/>
    <x v="0"/>
    <x v="0"/>
    <x v="0"/>
    <x v="0"/>
    <x v="21"/>
    <x v="21"/>
    <x v="21"/>
    <x v="21"/>
    <x v="21"/>
    <x v="19"/>
    <x v="21"/>
    <x v="20"/>
    <x v="21"/>
    <x v="20"/>
    <x v="19"/>
    <x v="21"/>
    <x v="20"/>
    <x v="21"/>
    <x v="20"/>
    <x v="19"/>
    <x v="21"/>
    <x v="20"/>
    <x v="21"/>
    <x v="20"/>
  </r>
  <r>
    <x v="0"/>
    <x v="24"/>
    <x v="24"/>
    <x v="1"/>
    <x v="1"/>
    <x v="1"/>
    <x v="24"/>
    <x v="1"/>
    <x v="4"/>
    <x v="24"/>
    <x v="24"/>
    <x v="24"/>
    <x v="10"/>
    <x v="0"/>
    <x v="6"/>
    <x v="1"/>
    <x v="0"/>
    <x v="1"/>
    <x v="24"/>
    <x v="24"/>
    <x v="0"/>
    <x v="0"/>
    <x v="0"/>
    <x v="0"/>
    <x v="0"/>
    <x v="0"/>
    <x v="0"/>
    <x v="24"/>
    <x v="24"/>
    <x v="0"/>
    <x v="24"/>
    <x v="0"/>
    <x v="24"/>
    <x v="24"/>
    <x v="23"/>
    <x v="0"/>
    <x v="0"/>
    <x v="0"/>
    <x v="24"/>
    <x v="24"/>
    <x v="0"/>
    <x v="0"/>
    <x v="0"/>
    <x v="0"/>
    <x v="23"/>
    <x v="23"/>
    <x v="23"/>
    <x v="23"/>
    <x v="23"/>
    <x v="21"/>
    <x v="23"/>
    <x v="22"/>
    <x v="23"/>
    <x v="22"/>
    <x v="21"/>
    <x v="23"/>
    <x v="22"/>
    <x v="23"/>
    <x v="22"/>
    <x v="21"/>
    <x v="23"/>
    <x v="22"/>
    <x v="23"/>
    <x v="22"/>
  </r>
  <r>
    <x v="0"/>
    <x v="25"/>
    <x v="25"/>
    <x v="1"/>
    <x v="1"/>
    <x v="1"/>
    <x v="25"/>
    <x v="1"/>
    <x v="4"/>
    <x v="25"/>
    <x v="25"/>
    <x v="25"/>
    <x v="14"/>
    <x v="0"/>
    <x v="6"/>
    <x v="1"/>
    <x v="0"/>
    <x v="1"/>
    <x v="25"/>
    <x v="25"/>
    <x v="0"/>
    <x v="0"/>
    <x v="0"/>
    <x v="0"/>
    <x v="0"/>
    <x v="0"/>
    <x v="0"/>
    <x v="25"/>
    <x v="25"/>
    <x v="0"/>
    <x v="25"/>
    <x v="0"/>
    <x v="25"/>
    <x v="25"/>
    <x v="24"/>
    <x v="0"/>
    <x v="0"/>
    <x v="0"/>
    <x v="25"/>
    <x v="25"/>
    <x v="0"/>
    <x v="0"/>
    <x v="0"/>
    <x v="0"/>
    <x v="24"/>
    <x v="24"/>
    <x v="24"/>
    <x v="24"/>
    <x v="24"/>
    <x v="22"/>
    <x v="24"/>
    <x v="23"/>
    <x v="24"/>
    <x v="23"/>
    <x v="22"/>
    <x v="24"/>
    <x v="23"/>
    <x v="24"/>
    <x v="23"/>
    <x v="22"/>
    <x v="24"/>
    <x v="23"/>
    <x v="24"/>
    <x v="23"/>
  </r>
  <r>
    <x v="0"/>
    <x v="26"/>
    <x v="26"/>
    <x v="1"/>
    <x v="1"/>
    <x v="1"/>
    <x v="26"/>
    <x v="1"/>
    <x v="2"/>
    <x v="26"/>
    <x v="26"/>
    <x v="26"/>
    <x v="15"/>
    <x v="7"/>
    <x v="6"/>
    <x v="1"/>
    <x v="0"/>
    <x v="1"/>
    <x v="26"/>
    <x v="26"/>
    <x v="0"/>
    <x v="0"/>
    <x v="0"/>
    <x v="0"/>
    <x v="0"/>
    <x v="0"/>
    <x v="0"/>
    <x v="26"/>
    <x v="26"/>
    <x v="7"/>
    <x v="26"/>
    <x v="0"/>
    <x v="26"/>
    <x v="26"/>
    <x v="25"/>
    <x v="0"/>
    <x v="0"/>
    <x v="0"/>
    <x v="26"/>
    <x v="26"/>
    <x v="0"/>
    <x v="0"/>
    <x v="0"/>
    <x v="0"/>
    <x v="25"/>
    <x v="25"/>
    <x v="25"/>
    <x v="25"/>
    <x v="25"/>
    <x v="23"/>
    <x v="25"/>
    <x v="24"/>
    <x v="25"/>
    <x v="24"/>
    <x v="23"/>
    <x v="25"/>
    <x v="24"/>
    <x v="25"/>
    <x v="24"/>
    <x v="23"/>
    <x v="25"/>
    <x v="24"/>
    <x v="25"/>
    <x v="24"/>
  </r>
  <r>
    <x v="0"/>
    <x v="27"/>
    <x v="27"/>
    <x v="1"/>
    <x v="1"/>
    <x v="1"/>
    <x v="27"/>
    <x v="1"/>
    <x v="1"/>
    <x v="27"/>
    <x v="27"/>
    <x v="27"/>
    <x v="16"/>
    <x v="6"/>
    <x v="6"/>
    <x v="1"/>
    <x v="0"/>
    <x v="1"/>
    <x v="27"/>
    <x v="27"/>
    <x v="0"/>
    <x v="0"/>
    <x v="0"/>
    <x v="0"/>
    <x v="0"/>
    <x v="0"/>
    <x v="0"/>
    <x v="27"/>
    <x v="27"/>
    <x v="0"/>
    <x v="27"/>
    <x v="0"/>
    <x v="27"/>
    <x v="27"/>
    <x v="26"/>
    <x v="0"/>
    <x v="0"/>
    <x v="0"/>
    <x v="27"/>
    <x v="27"/>
    <x v="0"/>
    <x v="0"/>
    <x v="0"/>
    <x v="0"/>
    <x v="26"/>
    <x v="26"/>
    <x v="26"/>
    <x v="26"/>
    <x v="26"/>
    <x v="24"/>
    <x v="26"/>
    <x v="25"/>
    <x v="26"/>
    <x v="25"/>
    <x v="24"/>
    <x v="26"/>
    <x v="25"/>
    <x v="26"/>
    <x v="25"/>
    <x v="24"/>
    <x v="26"/>
    <x v="25"/>
    <x v="26"/>
    <x v="25"/>
  </r>
  <r>
    <x v="0"/>
    <x v="28"/>
    <x v="28"/>
    <x v="1"/>
    <x v="1"/>
    <x v="1"/>
    <x v="28"/>
    <x v="1"/>
    <x v="3"/>
    <x v="28"/>
    <x v="28"/>
    <x v="28"/>
    <x v="16"/>
    <x v="0"/>
    <x v="6"/>
    <x v="1"/>
    <x v="0"/>
    <x v="1"/>
    <x v="28"/>
    <x v="28"/>
    <x v="0"/>
    <x v="0"/>
    <x v="0"/>
    <x v="0"/>
    <x v="0"/>
    <x v="0"/>
    <x v="0"/>
    <x v="28"/>
    <x v="28"/>
    <x v="0"/>
    <x v="28"/>
    <x v="0"/>
    <x v="28"/>
    <x v="28"/>
    <x v="27"/>
    <x v="0"/>
    <x v="0"/>
    <x v="0"/>
    <x v="28"/>
    <x v="28"/>
    <x v="0"/>
    <x v="0"/>
    <x v="0"/>
    <x v="0"/>
    <x v="27"/>
    <x v="27"/>
    <x v="27"/>
    <x v="27"/>
    <x v="27"/>
    <x v="25"/>
    <x v="27"/>
    <x v="26"/>
    <x v="27"/>
    <x v="26"/>
    <x v="25"/>
    <x v="27"/>
    <x v="26"/>
    <x v="27"/>
    <x v="26"/>
    <x v="25"/>
    <x v="27"/>
    <x v="26"/>
    <x v="27"/>
    <x v="26"/>
  </r>
  <r>
    <x v="0"/>
    <x v="29"/>
    <x v="29"/>
    <x v="1"/>
    <x v="1"/>
    <x v="1"/>
    <x v="29"/>
    <x v="1"/>
    <x v="2"/>
    <x v="29"/>
    <x v="29"/>
    <x v="29"/>
    <x v="7"/>
    <x v="7"/>
    <x v="6"/>
    <x v="1"/>
    <x v="0"/>
    <x v="1"/>
    <x v="29"/>
    <x v="29"/>
    <x v="0"/>
    <x v="0"/>
    <x v="0"/>
    <x v="0"/>
    <x v="0"/>
    <x v="0"/>
    <x v="0"/>
    <x v="29"/>
    <x v="29"/>
    <x v="8"/>
    <x v="29"/>
    <x v="0"/>
    <x v="29"/>
    <x v="29"/>
    <x v="28"/>
    <x v="0"/>
    <x v="0"/>
    <x v="0"/>
    <x v="29"/>
    <x v="29"/>
    <x v="0"/>
    <x v="0"/>
    <x v="0"/>
    <x v="0"/>
    <x v="28"/>
    <x v="28"/>
    <x v="28"/>
    <x v="28"/>
    <x v="28"/>
    <x v="26"/>
    <x v="28"/>
    <x v="27"/>
    <x v="28"/>
    <x v="27"/>
    <x v="26"/>
    <x v="28"/>
    <x v="27"/>
    <x v="28"/>
    <x v="27"/>
    <x v="26"/>
    <x v="28"/>
    <x v="27"/>
    <x v="28"/>
    <x v="27"/>
  </r>
  <r>
    <x v="0"/>
    <x v="30"/>
    <x v="30"/>
    <x v="2"/>
    <x v="3"/>
    <x v="8"/>
    <x v="30"/>
    <x v="0"/>
    <x v="3"/>
    <x v="30"/>
    <x v="30"/>
    <x v="30"/>
    <x v="0"/>
    <x v="0"/>
    <x v="0"/>
    <x v="0"/>
    <x v="0"/>
    <x v="0"/>
    <x v="30"/>
    <x v="30"/>
    <x v="0"/>
    <x v="0"/>
    <x v="0"/>
    <x v="0"/>
    <x v="0"/>
    <x v="0"/>
    <x v="0"/>
    <x v="30"/>
    <x v="30"/>
    <x v="0"/>
    <x v="30"/>
    <x v="0"/>
    <x v="30"/>
    <x v="30"/>
    <x v="29"/>
    <x v="0"/>
    <x v="0"/>
    <x v="0"/>
    <x v="30"/>
    <x v="30"/>
    <x v="0"/>
    <x v="0"/>
    <x v="0"/>
    <x v="0"/>
    <x v="29"/>
    <x v="29"/>
    <x v="29"/>
    <x v="29"/>
    <x v="29"/>
    <x v="27"/>
    <x v="29"/>
    <x v="28"/>
    <x v="29"/>
    <x v="28"/>
    <x v="27"/>
    <x v="29"/>
    <x v="28"/>
    <x v="29"/>
    <x v="28"/>
    <x v="27"/>
    <x v="29"/>
    <x v="28"/>
    <x v="29"/>
    <x v="28"/>
  </r>
  <r>
    <x v="0"/>
    <x v="31"/>
    <x v="31"/>
    <x v="1"/>
    <x v="1"/>
    <x v="1"/>
    <x v="31"/>
    <x v="0"/>
    <x v="2"/>
    <x v="31"/>
    <x v="31"/>
    <x v="31"/>
    <x v="1"/>
    <x v="4"/>
    <x v="0"/>
    <x v="1"/>
    <x v="0"/>
    <x v="1"/>
    <x v="31"/>
    <x v="31"/>
    <x v="0"/>
    <x v="0"/>
    <x v="0"/>
    <x v="0"/>
    <x v="0"/>
    <x v="0"/>
    <x v="0"/>
    <x v="31"/>
    <x v="31"/>
    <x v="0"/>
    <x v="31"/>
    <x v="0"/>
    <x v="31"/>
    <x v="31"/>
    <x v="30"/>
    <x v="0"/>
    <x v="0"/>
    <x v="0"/>
    <x v="31"/>
    <x v="31"/>
    <x v="0"/>
    <x v="0"/>
    <x v="0"/>
    <x v="0"/>
    <x v="30"/>
    <x v="30"/>
    <x v="30"/>
    <x v="30"/>
    <x v="30"/>
    <x v="28"/>
    <x v="30"/>
    <x v="29"/>
    <x v="30"/>
    <x v="29"/>
    <x v="28"/>
    <x v="30"/>
    <x v="29"/>
    <x v="30"/>
    <x v="29"/>
    <x v="28"/>
    <x v="30"/>
    <x v="29"/>
    <x v="30"/>
    <x v="29"/>
  </r>
  <r>
    <x v="0"/>
    <x v="32"/>
    <x v="32"/>
    <x v="1"/>
    <x v="1"/>
    <x v="1"/>
    <x v="32"/>
    <x v="0"/>
    <x v="1"/>
    <x v="32"/>
    <x v="32"/>
    <x v="32"/>
    <x v="17"/>
    <x v="6"/>
    <x v="0"/>
    <x v="1"/>
    <x v="0"/>
    <x v="1"/>
    <x v="32"/>
    <x v="32"/>
    <x v="0"/>
    <x v="0"/>
    <x v="0"/>
    <x v="0"/>
    <x v="0"/>
    <x v="0"/>
    <x v="0"/>
    <x v="32"/>
    <x v="32"/>
    <x v="0"/>
    <x v="32"/>
    <x v="0"/>
    <x v="32"/>
    <x v="32"/>
    <x v="31"/>
    <x v="0"/>
    <x v="0"/>
    <x v="0"/>
    <x v="32"/>
    <x v="32"/>
    <x v="0"/>
    <x v="0"/>
    <x v="0"/>
    <x v="0"/>
    <x v="31"/>
    <x v="31"/>
    <x v="31"/>
    <x v="31"/>
    <x v="31"/>
    <x v="29"/>
    <x v="31"/>
    <x v="30"/>
    <x v="31"/>
    <x v="30"/>
    <x v="29"/>
    <x v="31"/>
    <x v="30"/>
    <x v="31"/>
    <x v="30"/>
    <x v="29"/>
    <x v="31"/>
    <x v="30"/>
    <x v="31"/>
    <x v="30"/>
  </r>
  <r>
    <x v="0"/>
    <x v="33"/>
    <x v="33"/>
    <x v="1"/>
    <x v="1"/>
    <x v="1"/>
    <x v="33"/>
    <x v="1"/>
    <x v="4"/>
    <x v="33"/>
    <x v="33"/>
    <x v="33"/>
    <x v="10"/>
    <x v="0"/>
    <x v="6"/>
    <x v="1"/>
    <x v="0"/>
    <x v="1"/>
    <x v="33"/>
    <x v="33"/>
    <x v="0"/>
    <x v="0"/>
    <x v="0"/>
    <x v="0"/>
    <x v="0"/>
    <x v="0"/>
    <x v="0"/>
    <x v="33"/>
    <x v="33"/>
    <x v="9"/>
    <x v="33"/>
    <x v="0"/>
    <x v="33"/>
    <x v="33"/>
    <x v="32"/>
    <x v="0"/>
    <x v="0"/>
    <x v="0"/>
    <x v="33"/>
    <x v="33"/>
    <x v="0"/>
    <x v="0"/>
    <x v="0"/>
    <x v="0"/>
    <x v="32"/>
    <x v="32"/>
    <x v="32"/>
    <x v="32"/>
    <x v="32"/>
    <x v="30"/>
    <x v="32"/>
    <x v="31"/>
    <x v="32"/>
    <x v="31"/>
    <x v="30"/>
    <x v="32"/>
    <x v="31"/>
    <x v="32"/>
    <x v="31"/>
    <x v="30"/>
    <x v="32"/>
    <x v="31"/>
    <x v="32"/>
    <x v="31"/>
  </r>
  <r>
    <x v="0"/>
    <x v="34"/>
    <x v="34"/>
    <x v="1"/>
    <x v="1"/>
    <x v="1"/>
    <x v="34"/>
    <x v="1"/>
    <x v="4"/>
    <x v="34"/>
    <x v="34"/>
    <x v="34"/>
    <x v="18"/>
    <x v="1"/>
    <x v="6"/>
    <x v="1"/>
    <x v="0"/>
    <x v="1"/>
    <x v="34"/>
    <x v="34"/>
    <x v="0"/>
    <x v="0"/>
    <x v="0"/>
    <x v="0"/>
    <x v="0"/>
    <x v="0"/>
    <x v="0"/>
    <x v="34"/>
    <x v="34"/>
    <x v="0"/>
    <x v="34"/>
    <x v="0"/>
    <x v="34"/>
    <x v="34"/>
    <x v="33"/>
    <x v="0"/>
    <x v="0"/>
    <x v="0"/>
    <x v="34"/>
    <x v="34"/>
    <x v="0"/>
    <x v="0"/>
    <x v="0"/>
    <x v="0"/>
    <x v="33"/>
    <x v="33"/>
    <x v="33"/>
    <x v="33"/>
    <x v="33"/>
    <x v="31"/>
    <x v="33"/>
    <x v="32"/>
    <x v="33"/>
    <x v="32"/>
    <x v="31"/>
    <x v="33"/>
    <x v="32"/>
    <x v="33"/>
    <x v="32"/>
    <x v="31"/>
    <x v="33"/>
    <x v="32"/>
    <x v="33"/>
    <x v="32"/>
  </r>
  <r>
    <x v="0"/>
    <x v="35"/>
    <x v="35"/>
    <x v="1"/>
    <x v="1"/>
    <x v="2"/>
    <x v="35"/>
    <x v="1"/>
    <x v="4"/>
    <x v="35"/>
    <x v="35"/>
    <x v="35"/>
    <x v="1"/>
    <x v="5"/>
    <x v="7"/>
    <x v="1"/>
    <x v="0"/>
    <x v="1"/>
    <x v="35"/>
    <x v="35"/>
    <x v="0"/>
    <x v="0"/>
    <x v="0"/>
    <x v="0"/>
    <x v="0"/>
    <x v="0"/>
    <x v="0"/>
    <x v="35"/>
    <x v="35"/>
    <x v="0"/>
    <x v="35"/>
    <x v="0"/>
    <x v="35"/>
    <x v="35"/>
    <x v="34"/>
    <x v="0"/>
    <x v="0"/>
    <x v="0"/>
    <x v="35"/>
    <x v="35"/>
    <x v="0"/>
    <x v="0"/>
    <x v="0"/>
    <x v="0"/>
    <x v="14"/>
    <x v="14"/>
    <x v="14"/>
    <x v="14"/>
    <x v="14"/>
    <x v="12"/>
    <x v="14"/>
    <x v="13"/>
    <x v="14"/>
    <x v="13"/>
    <x v="12"/>
    <x v="14"/>
    <x v="13"/>
    <x v="14"/>
    <x v="13"/>
    <x v="12"/>
    <x v="14"/>
    <x v="13"/>
    <x v="14"/>
    <x v="13"/>
  </r>
  <r>
    <x v="0"/>
    <x v="36"/>
    <x v="36"/>
    <x v="1"/>
    <x v="1"/>
    <x v="1"/>
    <x v="36"/>
    <x v="1"/>
    <x v="2"/>
    <x v="36"/>
    <x v="36"/>
    <x v="36"/>
    <x v="19"/>
    <x v="1"/>
    <x v="6"/>
    <x v="1"/>
    <x v="0"/>
    <x v="1"/>
    <x v="36"/>
    <x v="36"/>
    <x v="0"/>
    <x v="0"/>
    <x v="0"/>
    <x v="0"/>
    <x v="0"/>
    <x v="0"/>
    <x v="0"/>
    <x v="36"/>
    <x v="36"/>
    <x v="0"/>
    <x v="36"/>
    <x v="0"/>
    <x v="36"/>
    <x v="36"/>
    <x v="35"/>
    <x v="0"/>
    <x v="0"/>
    <x v="0"/>
    <x v="36"/>
    <x v="36"/>
    <x v="0"/>
    <x v="0"/>
    <x v="0"/>
    <x v="0"/>
    <x v="34"/>
    <x v="34"/>
    <x v="34"/>
    <x v="34"/>
    <x v="34"/>
    <x v="32"/>
    <x v="34"/>
    <x v="33"/>
    <x v="34"/>
    <x v="33"/>
    <x v="32"/>
    <x v="34"/>
    <x v="33"/>
    <x v="34"/>
    <x v="33"/>
    <x v="32"/>
    <x v="34"/>
    <x v="33"/>
    <x v="34"/>
    <x v="33"/>
  </r>
  <r>
    <x v="0"/>
    <x v="37"/>
    <x v="37"/>
    <x v="2"/>
    <x v="3"/>
    <x v="8"/>
    <x v="37"/>
    <x v="1"/>
    <x v="3"/>
    <x v="37"/>
    <x v="37"/>
    <x v="37"/>
    <x v="8"/>
    <x v="0"/>
    <x v="6"/>
    <x v="0"/>
    <x v="0"/>
    <x v="0"/>
    <x v="37"/>
    <x v="37"/>
    <x v="0"/>
    <x v="0"/>
    <x v="0"/>
    <x v="0"/>
    <x v="0"/>
    <x v="0"/>
    <x v="0"/>
    <x v="37"/>
    <x v="37"/>
    <x v="0"/>
    <x v="37"/>
    <x v="0"/>
    <x v="37"/>
    <x v="37"/>
    <x v="36"/>
    <x v="0"/>
    <x v="0"/>
    <x v="0"/>
    <x v="37"/>
    <x v="37"/>
    <x v="0"/>
    <x v="0"/>
    <x v="0"/>
    <x v="0"/>
    <x v="35"/>
    <x v="35"/>
    <x v="35"/>
    <x v="35"/>
    <x v="35"/>
    <x v="33"/>
    <x v="35"/>
    <x v="34"/>
    <x v="35"/>
    <x v="34"/>
    <x v="33"/>
    <x v="35"/>
    <x v="34"/>
    <x v="35"/>
    <x v="34"/>
    <x v="33"/>
    <x v="35"/>
    <x v="34"/>
    <x v="35"/>
    <x v="34"/>
  </r>
  <r>
    <x v="0"/>
    <x v="38"/>
    <x v="38"/>
    <x v="1"/>
    <x v="1"/>
    <x v="9"/>
    <x v="35"/>
    <x v="0"/>
    <x v="4"/>
    <x v="38"/>
    <x v="38"/>
    <x v="38"/>
    <x v="1"/>
    <x v="9"/>
    <x v="7"/>
    <x v="1"/>
    <x v="0"/>
    <x v="1"/>
    <x v="38"/>
    <x v="38"/>
    <x v="0"/>
    <x v="0"/>
    <x v="0"/>
    <x v="0"/>
    <x v="0"/>
    <x v="0"/>
    <x v="0"/>
    <x v="38"/>
    <x v="38"/>
    <x v="0"/>
    <x v="38"/>
    <x v="0"/>
    <x v="38"/>
    <x v="38"/>
    <x v="37"/>
    <x v="0"/>
    <x v="0"/>
    <x v="0"/>
    <x v="38"/>
    <x v="38"/>
    <x v="0"/>
    <x v="0"/>
    <x v="0"/>
    <x v="0"/>
    <x v="36"/>
    <x v="36"/>
    <x v="36"/>
    <x v="36"/>
    <x v="36"/>
    <x v="34"/>
    <x v="36"/>
    <x v="35"/>
    <x v="36"/>
    <x v="35"/>
    <x v="34"/>
    <x v="36"/>
    <x v="35"/>
    <x v="36"/>
    <x v="35"/>
    <x v="34"/>
    <x v="36"/>
    <x v="35"/>
    <x v="36"/>
    <x v="35"/>
  </r>
  <r>
    <x v="0"/>
    <x v="39"/>
    <x v="39"/>
    <x v="1"/>
    <x v="1"/>
    <x v="1"/>
    <x v="38"/>
    <x v="1"/>
    <x v="1"/>
    <x v="39"/>
    <x v="39"/>
    <x v="39"/>
    <x v="10"/>
    <x v="10"/>
    <x v="6"/>
    <x v="1"/>
    <x v="0"/>
    <x v="1"/>
    <x v="39"/>
    <x v="39"/>
    <x v="0"/>
    <x v="0"/>
    <x v="0"/>
    <x v="0"/>
    <x v="0"/>
    <x v="0"/>
    <x v="0"/>
    <x v="39"/>
    <x v="39"/>
    <x v="10"/>
    <x v="39"/>
    <x v="0"/>
    <x v="39"/>
    <x v="39"/>
    <x v="38"/>
    <x v="0"/>
    <x v="0"/>
    <x v="0"/>
    <x v="39"/>
    <x v="39"/>
    <x v="0"/>
    <x v="0"/>
    <x v="0"/>
    <x v="0"/>
    <x v="37"/>
    <x v="37"/>
    <x v="37"/>
    <x v="37"/>
    <x v="37"/>
    <x v="35"/>
    <x v="37"/>
    <x v="36"/>
    <x v="37"/>
    <x v="36"/>
    <x v="35"/>
    <x v="37"/>
    <x v="36"/>
    <x v="37"/>
    <x v="36"/>
    <x v="35"/>
    <x v="37"/>
    <x v="36"/>
    <x v="37"/>
    <x v="36"/>
  </r>
  <r>
    <x v="0"/>
    <x v="40"/>
    <x v="40"/>
    <x v="0"/>
    <x v="4"/>
    <x v="10"/>
    <x v="39"/>
    <x v="2"/>
    <x v="5"/>
    <x v="40"/>
    <x v="40"/>
    <x v="40"/>
    <x v="19"/>
    <x v="7"/>
    <x v="8"/>
    <x v="0"/>
    <x v="0"/>
    <x v="0"/>
    <x v="40"/>
    <x v="40"/>
    <x v="0"/>
    <x v="0"/>
    <x v="0"/>
    <x v="0"/>
    <x v="0"/>
    <x v="0"/>
    <x v="0"/>
    <x v="40"/>
    <x v="40"/>
    <x v="0"/>
    <x v="40"/>
    <x v="0"/>
    <x v="40"/>
    <x v="40"/>
    <x v="39"/>
    <x v="0"/>
    <x v="0"/>
    <x v="0"/>
    <x v="40"/>
    <x v="40"/>
    <x v="0"/>
    <x v="0"/>
    <x v="0"/>
    <x v="0"/>
    <x v="38"/>
    <x v="38"/>
    <x v="38"/>
    <x v="38"/>
    <x v="38"/>
    <x v="36"/>
    <x v="38"/>
    <x v="37"/>
    <x v="38"/>
    <x v="37"/>
    <x v="36"/>
    <x v="38"/>
    <x v="37"/>
    <x v="38"/>
    <x v="37"/>
    <x v="36"/>
    <x v="38"/>
    <x v="37"/>
    <x v="38"/>
    <x v="37"/>
  </r>
  <r>
    <x v="0"/>
    <x v="41"/>
    <x v="41"/>
    <x v="1"/>
    <x v="1"/>
    <x v="1"/>
    <x v="40"/>
    <x v="1"/>
    <x v="4"/>
    <x v="41"/>
    <x v="41"/>
    <x v="41"/>
    <x v="18"/>
    <x v="1"/>
    <x v="6"/>
    <x v="1"/>
    <x v="0"/>
    <x v="1"/>
    <x v="41"/>
    <x v="41"/>
    <x v="0"/>
    <x v="0"/>
    <x v="0"/>
    <x v="0"/>
    <x v="0"/>
    <x v="0"/>
    <x v="0"/>
    <x v="41"/>
    <x v="41"/>
    <x v="0"/>
    <x v="41"/>
    <x v="0"/>
    <x v="41"/>
    <x v="41"/>
    <x v="40"/>
    <x v="0"/>
    <x v="0"/>
    <x v="0"/>
    <x v="41"/>
    <x v="41"/>
    <x v="0"/>
    <x v="0"/>
    <x v="0"/>
    <x v="0"/>
    <x v="39"/>
    <x v="39"/>
    <x v="39"/>
    <x v="39"/>
    <x v="39"/>
    <x v="37"/>
    <x v="39"/>
    <x v="38"/>
    <x v="39"/>
    <x v="38"/>
    <x v="37"/>
    <x v="39"/>
    <x v="38"/>
    <x v="39"/>
    <x v="38"/>
    <x v="37"/>
    <x v="39"/>
    <x v="38"/>
    <x v="39"/>
    <x v="38"/>
  </r>
  <r>
    <x v="0"/>
    <x v="42"/>
    <x v="42"/>
    <x v="0"/>
    <x v="0"/>
    <x v="11"/>
    <x v="41"/>
    <x v="1"/>
    <x v="5"/>
    <x v="42"/>
    <x v="42"/>
    <x v="42"/>
    <x v="11"/>
    <x v="9"/>
    <x v="7"/>
    <x v="0"/>
    <x v="0"/>
    <x v="0"/>
    <x v="42"/>
    <x v="42"/>
    <x v="0"/>
    <x v="0"/>
    <x v="0"/>
    <x v="0"/>
    <x v="0"/>
    <x v="0"/>
    <x v="0"/>
    <x v="42"/>
    <x v="42"/>
    <x v="0"/>
    <x v="42"/>
    <x v="0"/>
    <x v="42"/>
    <x v="42"/>
    <x v="41"/>
    <x v="0"/>
    <x v="0"/>
    <x v="0"/>
    <x v="42"/>
    <x v="40"/>
    <x v="0"/>
    <x v="0"/>
    <x v="0"/>
    <x v="0"/>
    <x v="40"/>
    <x v="40"/>
    <x v="40"/>
    <x v="40"/>
    <x v="40"/>
    <x v="38"/>
    <x v="40"/>
    <x v="39"/>
    <x v="40"/>
    <x v="39"/>
    <x v="38"/>
    <x v="40"/>
    <x v="39"/>
    <x v="40"/>
    <x v="39"/>
    <x v="38"/>
    <x v="40"/>
    <x v="39"/>
    <x v="40"/>
    <x v="39"/>
  </r>
  <r>
    <x v="0"/>
    <x v="43"/>
    <x v="43"/>
    <x v="1"/>
    <x v="1"/>
    <x v="1"/>
    <x v="42"/>
    <x v="1"/>
    <x v="2"/>
    <x v="43"/>
    <x v="43"/>
    <x v="43"/>
    <x v="20"/>
    <x v="6"/>
    <x v="6"/>
    <x v="1"/>
    <x v="0"/>
    <x v="1"/>
    <x v="43"/>
    <x v="43"/>
    <x v="0"/>
    <x v="0"/>
    <x v="0"/>
    <x v="0"/>
    <x v="0"/>
    <x v="0"/>
    <x v="0"/>
    <x v="43"/>
    <x v="43"/>
    <x v="11"/>
    <x v="43"/>
    <x v="0"/>
    <x v="43"/>
    <x v="43"/>
    <x v="39"/>
    <x v="0"/>
    <x v="0"/>
    <x v="0"/>
    <x v="43"/>
    <x v="42"/>
    <x v="0"/>
    <x v="0"/>
    <x v="0"/>
    <x v="0"/>
    <x v="14"/>
    <x v="14"/>
    <x v="14"/>
    <x v="41"/>
    <x v="41"/>
    <x v="12"/>
    <x v="14"/>
    <x v="13"/>
    <x v="41"/>
    <x v="40"/>
    <x v="12"/>
    <x v="14"/>
    <x v="13"/>
    <x v="41"/>
    <x v="40"/>
    <x v="12"/>
    <x v="14"/>
    <x v="13"/>
    <x v="41"/>
    <x v="40"/>
  </r>
  <r>
    <x v="0"/>
    <x v="44"/>
    <x v="44"/>
    <x v="1"/>
    <x v="1"/>
    <x v="1"/>
    <x v="43"/>
    <x v="1"/>
    <x v="2"/>
    <x v="42"/>
    <x v="44"/>
    <x v="44"/>
    <x v="21"/>
    <x v="9"/>
    <x v="7"/>
    <x v="1"/>
    <x v="0"/>
    <x v="1"/>
    <x v="44"/>
    <x v="44"/>
    <x v="0"/>
    <x v="0"/>
    <x v="0"/>
    <x v="0"/>
    <x v="0"/>
    <x v="0"/>
    <x v="0"/>
    <x v="44"/>
    <x v="44"/>
    <x v="0"/>
    <x v="44"/>
    <x v="0"/>
    <x v="44"/>
    <x v="44"/>
    <x v="42"/>
    <x v="0"/>
    <x v="0"/>
    <x v="0"/>
    <x v="44"/>
    <x v="43"/>
    <x v="0"/>
    <x v="0"/>
    <x v="0"/>
    <x v="0"/>
    <x v="41"/>
    <x v="41"/>
    <x v="41"/>
    <x v="42"/>
    <x v="42"/>
    <x v="39"/>
    <x v="41"/>
    <x v="40"/>
    <x v="42"/>
    <x v="41"/>
    <x v="39"/>
    <x v="41"/>
    <x v="40"/>
    <x v="42"/>
    <x v="41"/>
    <x v="39"/>
    <x v="41"/>
    <x v="40"/>
    <x v="42"/>
    <x v="41"/>
  </r>
  <r>
    <x v="0"/>
    <x v="45"/>
    <x v="45"/>
    <x v="1"/>
    <x v="1"/>
    <x v="1"/>
    <x v="44"/>
    <x v="0"/>
    <x v="2"/>
    <x v="44"/>
    <x v="45"/>
    <x v="45"/>
    <x v="7"/>
    <x v="11"/>
    <x v="6"/>
    <x v="1"/>
    <x v="0"/>
    <x v="1"/>
    <x v="45"/>
    <x v="45"/>
    <x v="0"/>
    <x v="0"/>
    <x v="0"/>
    <x v="0"/>
    <x v="0"/>
    <x v="0"/>
    <x v="0"/>
    <x v="45"/>
    <x v="45"/>
    <x v="0"/>
    <x v="45"/>
    <x v="0"/>
    <x v="45"/>
    <x v="45"/>
    <x v="38"/>
    <x v="0"/>
    <x v="0"/>
    <x v="0"/>
    <x v="45"/>
    <x v="44"/>
    <x v="0"/>
    <x v="0"/>
    <x v="0"/>
    <x v="0"/>
    <x v="42"/>
    <x v="42"/>
    <x v="42"/>
    <x v="43"/>
    <x v="43"/>
    <x v="40"/>
    <x v="42"/>
    <x v="41"/>
    <x v="43"/>
    <x v="42"/>
    <x v="40"/>
    <x v="42"/>
    <x v="41"/>
    <x v="43"/>
    <x v="42"/>
    <x v="40"/>
    <x v="42"/>
    <x v="41"/>
    <x v="43"/>
    <x v="42"/>
  </r>
  <r>
    <x v="0"/>
    <x v="46"/>
    <x v="46"/>
    <x v="0"/>
    <x v="0"/>
    <x v="12"/>
    <x v="45"/>
    <x v="1"/>
    <x v="6"/>
    <x v="45"/>
    <x v="46"/>
    <x v="46"/>
    <x v="22"/>
    <x v="12"/>
    <x v="9"/>
    <x v="2"/>
    <x v="1"/>
    <x v="0"/>
    <x v="46"/>
    <x v="16"/>
    <x v="0"/>
    <x v="0"/>
    <x v="0"/>
    <x v="0"/>
    <x v="0"/>
    <x v="0"/>
    <x v="0"/>
    <x v="46"/>
    <x v="46"/>
    <x v="0"/>
    <x v="46"/>
    <x v="0"/>
    <x v="16"/>
    <x v="16"/>
    <x v="16"/>
    <x v="0"/>
    <x v="0"/>
    <x v="0"/>
    <x v="46"/>
    <x v="45"/>
    <x v="0"/>
    <x v="0"/>
    <x v="0"/>
    <x v="0"/>
    <x v="43"/>
    <x v="43"/>
    <x v="43"/>
    <x v="44"/>
    <x v="44"/>
    <x v="41"/>
    <x v="43"/>
    <x v="42"/>
    <x v="44"/>
    <x v="43"/>
    <x v="41"/>
    <x v="43"/>
    <x v="42"/>
    <x v="44"/>
    <x v="43"/>
    <x v="41"/>
    <x v="43"/>
    <x v="42"/>
    <x v="44"/>
    <x v="43"/>
  </r>
  <r>
    <x v="0"/>
    <x v="47"/>
    <x v="47"/>
    <x v="1"/>
    <x v="1"/>
    <x v="3"/>
    <x v="46"/>
    <x v="1"/>
    <x v="6"/>
    <x v="46"/>
    <x v="47"/>
    <x v="47"/>
    <x v="22"/>
    <x v="12"/>
    <x v="9"/>
    <x v="3"/>
    <x v="2"/>
    <x v="1"/>
    <x v="46"/>
    <x v="16"/>
    <x v="0"/>
    <x v="0"/>
    <x v="0"/>
    <x v="0"/>
    <x v="0"/>
    <x v="0"/>
    <x v="0"/>
    <x v="46"/>
    <x v="46"/>
    <x v="0"/>
    <x v="46"/>
    <x v="0"/>
    <x v="16"/>
    <x v="16"/>
    <x v="16"/>
    <x v="0"/>
    <x v="0"/>
    <x v="0"/>
    <x v="47"/>
    <x v="46"/>
    <x v="0"/>
    <x v="0"/>
    <x v="0"/>
    <x v="0"/>
    <x v="43"/>
    <x v="44"/>
    <x v="44"/>
    <x v="44"/>
    <x v="44"/>
    <x v="41"/>
    <x v="44"/>
    <x v="43"/>
    <x v="44"/>
    <x v="43"/>
    <x v="41"/>
    <x v="44"/>
    <x v="43"/>
    <x v="44"/>
    <x v="43"/>
    <x v="41"/>
    <x v="44"/>
    <x v="43"/>
    <x v="44"/>
    <x v="43"/>
  </r>
  <r>
    <x v="0"/>
    <x v="48"/>
    <x v="48"/>
    <x v="0"/>
    <x v="0"/>
    <x v="10"/>
    <x v="47"/>
    <x v="1"/>
    <x v="6"/>
    <x v="47"/>
    <x v="48"/>
    <x v="48"/>
    <x v="22"/>
    <x v="12"/>
    <x v="9"/>
    <x v="4"/>
    <x v="3"/>
    <x v="0"/>
    <x v="46"/>
    <x v="16"/>
    <x v="0"/>
    <x v="0"/>
    <x v="0"/>
    <x v="0"/>
    <x v="0"/>
    <x v="0"/>
    <x v="0"/>
    <x v="46"/>
    <x v="46"/>
    <x v="0"/>
    <x v="46"/>
    <x v="0"/>
    <x v="16"/>
    <x v="16"/>
    <x v="16"/>
    <x v="0"/>
    <x v="0"/>
    <x v="0"/>
    <x v="48"/>
    <x v="47"/>
    <x v="0"/>
    <x v="0"/>
    <x v="0"/>
    <x v="0"/>
    <x v="43"/>
    <x v="44"/>
    <x v="44"/>
    <x v="44"/>
    <x v="44"/>
    <x v="41"/>
    <x v="44"/>
    <x v="43"/>
    <x v="44"/>
    <x v="43"/>
    <x v="41"/>
    <x v="44"/>
    <x v="43"/>
    <x v="44"/>
    <x v="43"/>
    <x v="41"/>
    <x v="44"/>
    <x v="43"/>
    <x v="44"/>
    <x v="43"/>
  </r>
  <r>
    <x v="1"/>
    <x v="49"/>
    <x v="49"/>
    <x v="0"/>
    <x v="0"/>
    <x v="13"/>
    <x v="48"/>
    <x v="1"/>
    <x v="6"/>
    <x v="47"/>
    <x v="48"/>
    <x v="48"/>
    <x v="22"/>
    <x v="12"/>
    <x v="9"/>
    <x v="5"/>
    <x v="4"/>
    <x v="0"/>
    <x v="46"/>
    <x v="16"/>
    <x v="0"/>
    <x v="0"/>
    <x v="0"/>
    <x v="0"/>
    <x v="0"/>
    <x v="0"/>
    <x v="0"/>
    <x v="46"/>
    <x v="46"/>
    <x v="0"/>
    <x v="46"/>
    <x v="0"/>
    <x v="16"/>
    <x v="16"/>
    <x v="16"/>
    <x v="0"/>
    <x v="0"/>
    <x v="0"/>
    <x v="48"/>
    <x v="47"/>
    <x v="0"/>
    <x v="0"/>
    <x v="0"/>
    <x v="0"/>
    <x v="43"/>
    <x v="45"/>
    <x v="43"/>
    <x v="44"/>
    <x v="44"/>
    <x v="41"/>
    <x v="45"/>
    <x v="42"/>
    <x v="44"/>
    <x v="43"/>
    <x v="41"/>
    <x v="45"/>
    <x v="42"/>
    <x v="44"/>
    <x v="43"/>
    <x v="41"/>
    <x v="45"/>
    <x v="42"/>
    <x v="44"/>
    <x v="43"/>
  </r>
  <r>
    <x v="0"/>
    <x v="50"/>
    <x v="50"/>
    <x v="2"/>
    <x v="3"/>
    <x v="8"/>
    <x v="4"/>
    <x v="1"/>
    <x v="3"/>
    <x v="48"/>
    <x v="49"/>
    <x v="49"/>
    <x v="1"/>
    <x v="0"/>
    <x v="6"/>
    <x v="0"/>
    <x v="0"/>
    <x v="0"/>
    <x v="47"/>
    <x v="46"/>
    <x v="0"/>
    <x v="0"/>
    <x v="0"/>
    <x v="0"/>
    <x v="0"/>
    <x v="0"/>
    <x v="0"/>
    <x v="47"/>
    <x v="47"/>
    <x v="0"/>
    <x v="47"/>
    <x v="0"/>
    <x v="46"/>
    <x v="46"/>
    <x v="43"/>
    <x v="0"/>
    <x v="0"/>
    <x v="0"/>
    <x v="49"/>
    <x v="48"/>
    <x v="0"/>
    <x v="0"/>
    <x v="0"/>
    <x v="0"/>
    <x v="44"/>
    <x v="46"/>
    <x v="45"/>
    <x v="45"/>
    <x v="45"/>
    <x v="42"/>
    <x v="46"/>
    <x v="44"/>
    <x v="45"/>
    <x v="44"/>
    <x v="42"/>
    <x v="46"/>
    <x v="44"/>
    <x v="45"/>
    <x v="44"/>
    <x v="42"/>
    <x v="46"/>
    <x v="44"/>
    <x v="45"/>
    <x v="44"/>
  </r>
  <r>
    <x v="0"/>
    <x v="51"/>
    <x v="51"/>
    <x v="1"/>
    <x v="1"/>
    <x v="1"/>
    <x v="49"/>
    <x v="1"/>
    <x v="3"/>
    <x v="49"/>
    <x v="50"/>
    <x v="50"/>
    <x v="7"/>
    <x v="1"/>
    <x v="6"/>
    <x v="1"/>
    <x v="0"/>
    <x v="1"/>
    <x v="48"/>
    <x v="47"/>
    <x v="0"/>
    <x v="0"/>
    <x v="0"/>
    <x v="0"/>
    <x v="0"/>
    <x v="0"/>
    <x v="0"/>
    <x v="48"/>
    <x v="48"/>
    <x v="0"/>
    <x v="48"/>
    <x v="0"/>
    <x v="47"/>
    <x v="47"/>
    <x v="44"/>
    <x v="0"/>
    <x v="0"/>
    <x v="0"/>
    <x v="50"/>
    <x v="49"/>
    <x v="0"/>
    <x v="0"/>
    <x v="0"/>
    <x v="0"/>
    <x v="45"/>
    <x v="47"/>
    <x v="46"/>
    <x v="46"/>
    <x v="46"/>
    <x v="43"/>
    <x v="47"/>
    <x v="45"/>
    <x v="46"/>
    <x v="45"/>
    <x v="43"/>
    <x v="47"/>
    <x v="45"/>
    <x v="46"/>
    <x v="45"/>
    <x v="43"/>
    <x v="47"/>
    <x v="45"/>
    <x v="46"/>
    <x v="45"/>
  </r>
  <r>
    <x v="0"/>
    <x v="52"/>
    <x v="52"/>
    <x v="1"/>
    <x v="1"/>
    <x v="1"/>
    <x v="50"/>
    <x v="1"/>
    <x v="1"/>
    <x v="50"/>
    <x v="51"/>
    <x v="51"/>
    <x v="10"/>
    <x v="10"/>
    <x v="6"/>
    <x v="1"/>
    <x v="0"/>
    <x v="1"/>
    <x v="49"/>
    <x v="48"/>
    <x v="0"/>
    <x v="0"/>
    <x v="0"/>
    <x v="0"/>
    <x v="0"/>
    <x v="0"/>
    <x v="0"/>
    <x v="49"/>
    <x v="49"/>
    <x v="12"/>
    <x v="49"/>
    <x v="0"/>
    <x v="48"/>
    <x v="48"/>
    <x v="45"/>
    <x v="0"/>
    <x v="0"/>
    <x v="0"/>
    <x v="51"/>
    <x v="50"/>
    <x v="0"/>
    <x v="0"/>
    <x v="0"/>
    <x v="0"/>
    <x v="46"/>
    <x v="48"/>
    <x v="47"/>
    <x v="47"/>
    <x v="47"/>
    <x v="44"/>
    <x v="48"/>
    <x v="46"/>
    <x v="47"/>
    <x v="46"/>
    <x v="44"/>
    <x v="48"/>
    <x v="46"/>
    <x v="47"/>
    <x v="46"/>
    <x v="44"/>
    <x v="48"/>
    <x v="46"/>
    <x v="47"/>
    <x v="46"/>
  </r>
  <r>
    <x v="0"/>
    <x v="53"/>
    <x v="53"/>
    <x v="0"/>
    <x v="0"/>
    <x v="13"/>
    <x v="51"/>
    <x v="1"/>
    <x v="1"/>
    <x v="51"/>
    <x v="52"/>
    <x v="52"/>
    <x v="1"/>
    <x v="4"/>
    <x v="6"/>
    <x v="0"/>
    <x v="0"/>
    <x v="0"/>
    <x v="50"/>
    <x v="49"/>
    <x v="0"/>
    <x v="0"/>
    <x v="0"/>
    <x v="0"/>
    <x v="0"/>
    <x v="0"/>
    <x v="0"/>
    <x v="50"/>
    <x v="50"/>
    <x v="13"/>
    <x v="50"/>
    <x v="0"/>
    <x v="49"/>
    <x v="49"/>
    <x v="46"/>
    <x v="0"/>
    <x v="0"/>
    <x v="0"/>
    <x v="52"/>
    <x v="51"/>
    <x v="0"/>
    <x v="0"/>
    <x v="0"/>
    <x v="0"/>
    <x v="21"/>
    <x v="21"/>
    <x v="21"/>
    <x v="21"/>
    <x v="21"/>
    <x v="19"/>
    <x v="21"/>
    <x v="20"/>
    <x v="21"/>
    <x v="20"/>
    <x v="19"/>
    <x v="21"/>
    <x v="20"/>
    <x v="21"/>
    <x v="20"/>
    <x v="19"/>
    <x v="21"/>
    <x v="20"/>
    <x v="21"/>
    <x v="20"/>
  </r>
  <r>
    <x v="0"/>
    <x v="54"/>
    <x v="54"/>
    <x v="2"/>
    <x v="3"/>
    <x v="8"/>
    <x v="52"/>
    <x v="1"/>
    <x v="3"/>
    <x v="52"/>
    <x v="53"/>
    <x v="53"/>
    <x v="1"/>
    <x v="4"/>
    <x v="6"/>
    <x v="0"/>
    <x v="0"/>
    <x v="0"/>
    <x v="51"/>
    <x v="50"/>
    <x v="0"/>
    <x v="0"/>
    <x v="0"/>
    <x v="0"/>
    <x v="0"/>
    <x v="0"/>
    <x v="0"/>
    <x v="51"/>
    <x v="51"/>
    <x v="0"/>
    <x v="51"/>
    <x v="0"/>
    <x v="50"/>
    <x v="50"/>
    <x v="47"/>
    <x v="0"/>
    <x v="0"/>
    <x v="0"/>
    <x v="53"/>
    <x v="52"/>
    <x v="0"/>
    <x v="0"/>
    <x v="0"/>
    <x v="0"/>
    <x v="47"/>
    <x v="49"/>
    <x v="48"/>
    <x v="48"/>
    <x v="48"/>
    <x v="45"/>
    <x v="49"/>
    <x v="47"/>
    <x v="48"/>
    <x v="47"/>
    <x v="45"/>
    <x v="49"/>
    <x v="47"/>
    <x v="48"/>
    <x v="47"/>
    <x v="45"/>
    <x v="49"/>
    <x v="47"/>
    <x v="48"/>
    <x v="47"/>
  </r>
  <r>
    <x v="0"/>
    <x v="55"/>
    <x v="55"/>
    <x v="2"/>
    <x v="3"/>
    <x v="8"/>
    <x v="53"/>
    <x v="1"/>
    <x v="3"/>
    <x v="53"/>
    <x v="54"/>
    <x v="54"/>
    <x v="8"/>
    <x v="0"/>
    <x v="6"/>
    <x v="0"/>
    <x v="0"/>
    <x v="0"/>
    <x v="52"/>
    <x v="51"/>
    <x v="0"/>
    <x v="0"/>
    <x v="0"/>
    <x v="0"/>
    <x v="0"/>
    <x v="0"/>
    <x v="0"/>
    <x v="52"/>
    <x v="52"/>
    <x v="0"/>
    <x v="52"/>
    <x v="0"/>
    <x v="51"/>
    <x v="51"/>
    <x v="48"/>
    <x v="0"/>
    <x v="0"/>
    <x v="0"/>
    <x v="54"/>
    <x v="53"/>
    <x v="0"/>
    <x v="0"/>
    <x v="0"/>
    <x v="0"/>
    <x v="48"/>
    <x v="50"/>
    <x v="49"/>
    <x v="49"/>
    <x v="49"/>
    <x v="46"/>
    <x v="50"/>
    <x v="48"/>
    <x v="49"/>
    <x v="48"/>
    <x v="46"/>
    <x v="50"/>
    <x v="48"/>
    <x v="49"/>
    <x v="48"/>
    <x v="46"/>
    <x v="50"/>
    <x v="48"/>
    <x v="49"/>
    <x v="48"/>
  </r>
  <r>
    <x v="0"/>
    <x v="56"/>
    <x v="56"/>
    <x v="0"/>
    <x v="0"/>
    <x v="14"/>
    <x v="54"/>
    <x v="1"/>
    <x v="5"/>
    <x v="54"/>
    <x v="55"/>
    <x v="55"/>
    <x v="11"/>
    <x v="3"/>
    <x v="10"/>
    <x v="6"/>
    <x v="5"/>
    <x v="0"/>
    <x v="53"/>
    <x v="16"/>
    <x v="0"/>
    <x v="0"/>
    <x v="0"/>
    <x v="0"/>
    <x v="0"/>
    <x v="0"/>
    <x v="0"/>
    <x v="53"/>
    <x v="53"/>
    <x v="0"/>
    <x v="53"/>
    <x v="0"/>
    <x v="16"/>
    <x v="16"/>
    <x v="16"/>
    <x v="0"/>
    <x v="0"/>
    <x v="0"/>
    <x v="55"/>
    <x v="54"/>
    <x v="0"/>
    <x v="0"/>
    <x v="0"/>
    <x v="0"/>
    <x v="49"/>
    <x v="51"/>
    <x v="13"/>
    <x v="13"/>
    <x v="13"/>
    <x v="47"/>
    <x v="51"/>
    <x v="12"/>
    <x v="13"/>
    <x v="10"/>
    <x v="47"/>
    <x v="51"/>
    <x v="12"/>
    <x v="13"/>
    <x v="10"/>
    <x v="47"/>
    <x v="51"/>
    <x v="12"/>
    <x v="13"/>
    <x v="10"/>
  </r>
  <r>
    <x v="0"/>
    <x v="57"/>
    <x v="57"/>
    <x v="0"/>
    <x v="0"/>
    <x v="15"/>
    <x v="34"/>
    <x v="1"/>
    <x v="5"/>
    <x v="55"/>
    <x v="56"/>
    <x v="56"/>
    <x v="10"/>
    <x v="7"/>
    <x v="6"/>
    <x v="0"/>
    <x v="0"/>
    <x v="0"/>
    <x v="54"/>
    <x v="52"/>
    <x v="0"/>
    <x v="0"/>
    <x v="0"/>
    <x v="0"/>
    <x v="0"/>
    <x v="0"/>
    <x v="0"/>
    <x v="54"/>
    <x v="54"/>
    <x v="0"/>
    <x v="54"/>
    <x v="0"/>
    <x v="52"/>
    <x v="52"/>
    <x v="49"/>
    <x v="0"/>
    <x v="0"/>
    <x v="0"/>
    <x v="56"/>
    <x v="55"/>
    <x v="0"/>
    <x v="0"/>
    <x v="0"/>
    <x v="0"/>
    <x v="50"/>
    <x v="52"/>
    <x v="50"/>
    <x v="50"/>
    <x v="50"/>
    <x v="48"/>
    <x v="52"/>
    <x v="49"/>
    <x v="50"/>
    <x v="49"/>
    <x v="48"/>
    <x v="52"/>
    <x v="49"/>
    <x v="50"/>
    <x v="49"/>
    <x v="48"/>
    <x v="52"/>
    <x v="49"/>
    <x v="50"/>
    <x v="49"/>
  </r>
  <r>
    <x v="0"/>
    <x v="58"/>
    <x v="58"/>
    <x v="0"/>
    <x v="0"/>
    <x v="16"/>
    <x v="55"/>
    <x v="1"/>
    <x v="5"/>
    <x v="56"/>
    <x v="57"/>
    <x v="57"/>
    <x v="15"/>
    <x v="4"/>
    <x v="6"/>
    <x v="0"/>
    <x v="0"/>
    <x v="0"/>
    <x v="55"/>
    <x v="53"/>
    <x v="0"/>
    <x v="0"/>
    <x v="0"/>
    <x v="0"/>
    <x v="0"/>
    <x v="0"/>
    <x v="0"/>
    <x v="55"/>
    <x v="55"/>
    <x v="0"/>
    <x v="55"/>
    <x v="0"/>
    <x v="53"/>
    <x v="53"/>
    <x v="50"/>
    <x v="0"/>
    <x v="0"/>
    <x v="0"/>
    <x v="57"/>
    <x v="56"/>
    <x v="0"/>
    <x v="0"/>
    <x v="0"/>
    <x v="0"/>
    <x v="51"/>
    <x v="53"/>
    <x v="51"/>
    <x v="51"/>
    <x v="51"/>
    <x v="49"/>
    <x v="53"/>
    <x v="50"/>
    <x v="51"/>
    <x v="50"/>
    <x v="49"/>
    <x v="53"/>
    <x v="50"/>
    <x v="51"/>
    <x v="50"/>
    <x v="49"/>
    <x v="53"/>
    <x v="50"/>
    <x v="51"/>
    <x v="50"/>
  </r>
  <r>
    <x v="0"/>
    <x v="59"/>
    <x v="59"/>
    <x v="2"/>
    <x v="3"/>
    <x v="8"/>
    <x v="56"/>
    <x v="1"/>
    <x v="3"/>
    <x v="57"/>
    <x v="58"/>
    <x v="58"/>
    <x v="1"/>
    <x v="0"/>
    <x v="6"/>
    <x v="0"/>
    <x v="0"/>
    <x v="0"/>
    <x v="56"/>
    <x v="54"/>
    <x v="0"/>
    <x v="0"/>
    <x v="0"/>
    <x v="0"/>
    <x v="0"/>
    <x v="0"/>
    <x v="0"/>
    <x v="56"/>
    <x v="56"/>
    <x v="0"/>
    <x v="56"/>
    <x v="0"/>
    <x v="54"/>
    <x v="54"/>
    <x v="51"/>
    <x v="0"/>
    <x v="0"/>
    <x v="0"/>
    <x v="58"/>
    <x v="57"/>
    <x v="0"/>
    <x v="0"/>
    <x v="0"/>
    <x v="0"/>
    <x v="52"/>
    <x v="54"/>
    <x v="52"/>
    <x v="52"/>
    <x v="52"/>
    <x v="50"/>
    <x v="54"/>
    <x v="51"/>
    <x v="52"/>
    <x v="51"/>
    <x v="50"/>
    <x v="54"/>
    <x v="51"/>
    <x v="52"/>
    <x v="51"/>
    <x v="50"/>
    <x v="54"/>
    <x v="51"/>
    <x v="52"/>
    <x v="51"/>
  </r>
  <r>
    <x v="0"/>
    <x v="60"/>
    <x v="60"/>
    <x v="1"/>
    <x v="1"/>
    <x v="1"/>
    <x v="57"/>
    <x v="1"/>
    <x v="2"/>
    <x v="58"/>
    <x v="59"/>
    <x v="59"/>
    <x v="8"/>
    <x v="7"/>
    <x v="6"/>
    <x v="1"/>
    <x v="0"/>
    <x v="1"/>
    <x v="57"/>
    <x v="55"/>
    <x v="0"/>
    <x v="0"/>
    <x v="0"/>
    <x v="0"/>
    <x v="0"/>
    <x v="0"/>
    <x v="0"/>
    <x v="57"/>
    <x v="57"/>
    <x v="14"/>
    <x v="57"/>
    <x v="0"/>
    <x v="55"/>
    <x v="55"/>
    <x v="52"/>
    <x v="0"/>
    <x v="0"/>
    <x v="0"/>
    <x v="59"/>
    <x v="58"/>
    <x v="0"/>
    <x v="0"/>
    <x v="0"/>
    <x v="0"/>
    <x v="53"/>
    <x v="55"/>
    <x v="53"/>
    <x v="53"/>
    <x v="53"/>
    <x v="51"/>
    <x v="55"/>
    <x v="52"/>
    <x v="53"/>
    <x v="52"/>
    <x v="51"/>
    <x v="55"/>
    <x v="52"/>
    <x v="53"/>
    <x v="52"/>
    <x v="51"/>
    <x v="55"/>
    <x v="52"/>
    <x v="53"/>
    <x v="52"/>
  </r>
  <r>
    <x v="0"/>
    <x v="61"/>
    <x v="61"/>
    <x v="1"/>
    <x v="2"/>
    <x v="5"/>
    <x v="23"/>
    <x v="2"/>
    <x v="4"/>
    <x v="59"/>
    <x v="60"/>
    <x v="60"/>
    <x v="1"/>
    <x v="0"/>
    <x v="8"/>
    <x v="0"/>
    <x v="0"/>
    <x v="0"/>
    <x v="58"/>
    <x v="56"/>
    <x v="0"/>
    <x v="0"/>
    <x v="0"/>
    <x v="0"/>
    <x v="0"/>
    <x v="0"/>
    <x v="0"/>
    <x v="58"/>
    <x v="58"/>
    <x v="0"/>
    <x v="58"/>
    <x v="0"/>
    <x v="56"/>
    <x v="56"/>
    <x v="53"/>
    <x v="0"/>
    <x v="0"/>
    <x v="0"/>
    <x v="60"/>
    <x v="59"/>
    <x v="0"/>
    <x v="0"/>
    <x v="0"/>
    <x v="0"/>
    <x v="54"/>
    <x v="56"/>
    <x v="54"/>
    <x v="54"/>
    <x v="54"/>
    <x v="52"/>
    <x v="56"/>
    <x v="53"/>
    <x v="54"/>
    <x v="53"/>
    <x v="52"/>
    <x v="56"/>
    <x v="53"/>
    <x v="54"/>
    <x v="53"/>
    <x v="52"/>
    <x v="56"/>
    <x v="53"/>
    <x v="54"/>
    <x v="53"/>
  </r>
  <r>
    <x v="0"/>
    <x v="62"/>
    <x v="62"/>
    <x v="0"/>
    <x v="0"/>
    <x v="7"/>
    <x v="58"/>
    <x v="1"/>
    <x v="5"/>
    <x v="60"/>
    <x v="61"/>
    <x v="61"/>
    <x v="14"/>
    <x v="4"/>
    <x v="6"/>
    <x v="0"/>
    <x v="0"/>
    <x v="0"/>
    <x v="59"/>
    <x v="57"/>
    <x v="0"/>
    <x v="0"/>
    <x v="0"/>
    <x v="0"/>
    <x v="0"/>
    <x v="0"/>
    <x v="0"/>
    <x v="59"/>
    <x v="59"/>
    <x v="0"/>
    <x v="59"/>
    <x v="0"/>
    <x v="57"/>
    <x v="57"/>
    <x v="54"/>
    <x v="0"/>
    <x v="0"/>
    <x v="0"/>
    <x v="61"/>
    <x v="60"/>
    <x v="0"/>
    <x v="0"/>
    <x v="0"/>
    <x v="0"/>
    <x v="55"/>
    <x v="57"/>
    <x v="55"/>
    <x v="55"/>
    <x v="55"/>
    <x v="53"/>
    <x v="57"/>
    <x v="54"/>
    <x v="55"/>
    <x v="54"/>
    <x v="53"/>
    <x v="57"/>
    <x v="54"/>
    <x v="55"/>
    <x v="54"/>
    <x v="53"/>
    <x v="57"/>
    <x v="54"/>
    <x v="55"/>
    <x v="54"/>
  </r>
  <r>
    <x v="0"/>
    <x v="63"/>
    <x v="63"/>
    <x v="0"/>
    <x v="4"/>
    <x v="10"/>
    <x v="59"/>
    <x v="1"/>
    <x v="5"/>
    <x v="61"/>
    <x v="62"/>
    <x v="62"/>
    <x v="8"/>
    <x v="1"/>
    <x v="6"/>
    <x v="0"/>
    <x v="0"/>
    <x v="0"/>
    <x v="60"/>
    <x v="58"/>
    <x v="0"/>
    <x v="0"/>
    <x v="0"/>
    <x v="0"/>
    <x v="0"/>
    <x v="0"/>
    <x v="0"/>
    <x v="60"/>
    <x v="60"/>
    <x v="0"/>
    <x v="60"/>
    <x v="0"/>
    <x v="58"/>
    <x v="58"/>
    <x v="55"/>
    <x v="0"/>
    <x v="0"/>
    <x v="0"/>
    <x v="62"/>
    <x v="61"/>
    <x v="0"/>
    <x v="0"/>
    <x v="0"/>
    <x v="0"/>
    <x v="56"/>
    <x v="58"/>
    <x v="56"/>
    <x v="56"/>
    <x v="56"/>
    <x v="54"/>
    <x v="58"/>
    <x v="55"/>
    <x v="56"/>
    <x v="55"/>
    <x v="54"/>
    <x v="58"/>
    <x v="55"/>
    <x v="56"/>
    <x v="55"/>
    <x v="54"/>
    <x v="58"/>
    <x v="55"/>
    <x v="56"/>
    <x v="55"/>
  </r>
  <r>
    <x v="0"/>
    <x v="64"/>
    <x v="64"/>
    <x v="1"/>
    <x v="1"/>
    <x v="1"/>
    <x v="60"/>
    <x v="1"/>
    <x v="4"/>
    <x v="62"/>
    <x v="63"/>
    <x v="63"/>
    <x v="7"/>
    <x v="11"/>
    <x v="6"/>
    <x v="1"/>
    <x v="0"/>
    <x v="1"/>
    <x v="61"/>
    <x v="59"/>
    <x v="0"/>
    <x v="0"/>
    <x v="0"/>
    <x v="0"/>
    <x v="0"/>
    <x v="0"/>
    <x v="0"/>
    <x v="61"/>
    <x v="61"/>
    <x v="0"/>
    <x v="61"/>
    <x v="0"/>
    <x v="59"/>
    <x v="59"/>
    <x v="56"/>
    <x v="0"/>
    <x v="0"/>
    <x v="0"/>
    <x v="63"/>
    <x v="62"/>
    <x v="0"/>
    <x v="0"/>
    <x v="0"/>
    <x v="0"/>
    <x v="57"/>
    <x v="59"/>
    <x v="57"/>
    <x v="57"/>
    <x v="57"/>
    <x v="55"/>
    <x v="59"/>
    <x v="56"/>
    <x v="57"/>
    <x v="56"/>
    <x v="55"/>
    <x v="59"/>
    <x v="56"/>
    <x v="57"/>
    <x v="56"/>
    <x v="55"/>
    <x v="59"/>
    <x v="56"/>
    <x v="57"/>
    <x v="56"/>
  </r>
  <r>
    <x v="0"/>
    <x v="65"/>
    <x v="65"/>
    <x v="1"/>
    <x v="1"/>
    <x v="1"/>
    <x v="61"/>
    <x v="1"/>
    <x v="2"/>
    <x v="63"/>
    <x v="64"/>
    <x v="64"/>
    <x v="23"/>
    <x v="0"/>
    <x v="3"/>
    <x v="1"/>
    <x v="0"/>
    <x v="1"/>
    <x v="62"/>
    <x v="60"/>
    <x v="0"/>
    <x v="0"/>
    <x v="0"/>
    <x v="0"/>
    <x v="0"/>
    <x v="0"/>
    <x v="0"/>
    <x v="62"/>
    <x v="62"/>
    <x v="0"/>
    <x v="62"/>
    <x v="0"/>
    <x v="60"/>
    <x v="60"/>
    <x v="57"/>
    <x v="0"/>
    <x v="0"/>
    <x v="0"/>
    <x v="64"/>
    <x v="63"/>
    <x v="0"/>
    <x v="0"/>
    <x v="0"/>
    <x v="0"/>
    <x v="9"/>
    <x v="9"/>
    <x v="9"/>
    <x v="9"/>
    <x v="9"/>
    <x v="8"/>
    <x v="9"/>
    <x v="8"/>
    <x v="9"/>
    <x v="9"/>
    <x v="8"/>
    <x v="9"/>
    <x v="8"/>
    <x v="9"/>
    <x v="9"/>
    <x v="8"/>
    <x v="9"/>
    <x v="8"/>
    <x v="9"/>
    <x v="9"/>
  </r>
  <r>
    <x v="0"/>
    <x v="66"/>
    <x v="66"/>
    <x v="1"/>
    <x v="1"/>
    <x v="1"/>
    <x v="62"/>
    <x v="1"/>
    <x v="2"/>
    <x v="64"/>
    <x v="65"/>
    <x v="65"/>
    <x v="14"/>
    <x v="1"/>
    <x v="6"/>
    <x v="1"/>
    <x v="0"/>
    <x v="1"/>
    <x v="63"/>
    <x v="61"/>
    <x v="0"/>
    <x v="0"/>
    <x v="0"/>
    <x v="0"/>
    <x v="0"/>
    <x v="0"/>
    <x v="0"/>
    <x v="63"/>
    <x v="63"/>
    <x v="0"/>
    <x v="63"/>
    <x v="0"/>
    <x v="61"/>
    <x v="61"/>
    <x v="50"/>
    <x v="0"/>
    <x v="0"/>
    <x v="0"/>
    <x v="65"/>
    <x v="64"/>
    <x v="0"/>
    <x v="0"/>
    <x v="0"/>
    <x v="0"/>
    <x v="58"/>
    <x v="60"/>
    <x v="58"/>
    <x v="58"/>
    <x v="58"/>
    <x v="56"/>
    <x v="60"/>
    <x v="57"/>
    <x v="58"/>
    <x v="57"/>
    <x v="56"/>
    <x v="60"/>
    <x v="57"/>
    <x v="58"/>
    <x v="57"/>
    <x v="56"/>
    <x v="60"/>
    <x v="57"/>
    <x v="58"/>
    <x v="57"/>
  </r>
  <r>
    <x v="0"/>
    <x v="67"/>
    <x v="67"/>
    <x v="0"/>
    <x v="0"/>
    <x v="15"/>
    <x v="63"/>
    <x v="1"/>
    <x v="5"/>
    <x v="65"/>
    <x v="66"/>
    <x v="66"/>
    <x v="19"/>
    <x v="1"/>
    <x v="6"/>
    <x v="0"/>
    <x v="0"/>
    <x v="0"/>
    <x v="64"/>
    <x v="62"/>
    <x v="0"/>
    <x v="0"/>
    <x v="0"/>
    <x v="0"/>
    <x v="0"/>
    <x v="0"/>
    <x v="0"/>
    <x v="64"/>
    <x v="64"/>
    <x v="0"/>
    <x v="64"/>
    <x v="0"/>
    <x v="62"/>
    <x v="62"/>
    <x v="58"/>
    <x v="0"/>
    <x v="0"/>
    <x v="0"/>
    <x v="66"/>
    <x v="65"/>
    <x v="0"/>
    <x v="0"/>
    <x v="0"/>
    <x v="0"/>
    <x v="59"/>
    <x v="61"/>
    <x v="59"/>
    <x v="59"/>
    <x v="59"/>
    <x v="57"/>
    <x v="61"/>
    <x v="58"/>
    <x v="59"/>
    <x v="58"/>
    <x v="57"/>
    <x v="61"/>
    <x v="58"/>
    <x v="59"/>
    <x v="58"/>
    <x v="57"/>
    <x v="61"/>
    <x v="58"/>
    <x v="59"/>
    <x v="58"/>
  </r>
  <r>
    <x v="0"/>
    <x v="68"/>
    <x v="68"/>
    <x v="0"/>
    <x v="0"/>
    <x v="6"/>
    <x v="64"/>
    <x v="2"/>
    <x v="5"/>
    <x v="66"/>
    <x v="67"/>
    <x v="67"/>
    <x v="19"/>
    <x v="4"/>
    <x v="8"/>
    <x v="0"/>
    <x v="0"/>
    <x v="0"/>
    <x v="65"/>
    <x v="63"/>
    <x v="0"/>
    <x v="0"/>
    <x v="0"/>
    <x v="0"/>
    <x v="0"/>
    <x v="0"/>
    <x v="0"/>
    <x v="65"/>
    <x v="65"/>
    <x v="0"/>
    <x v="65"/>
    <x v="0"/>
    <x v="63"/>
    <x v="63"/>
    <x v="59"/>
    <x v="0"/>
    <x v="0"/>
    <x v="0"/>
    <x v="67"/>
    <x v="66"/>
    <x v="0"/>
    <x v="0"/>
    <x v="0"/>
    <x v="0"/>
    <x v="60"/>
    <x v="62"/>
    <x v="60"/>
    <x v="60"/>
    <x v="60"/>
    <x v="58"/>
    <x v="62"/>
    <x v="59"/>
    <x v="60"/>
    <x v="59"/>
    <x v="58"/>
    <x v="62"/>
    <x v="59"/>
    <x v="60"/>
    <x v="59"/>
    <x v="58"/>
    <x v="62"/>
    <x v="59"/>
    <x v="60"/>
    <x v="59"/>
  </r>
  <r>
    <x v="0"/>
    <x v="69"/>
    <x v="69"/>
    <x v="0"/>
    <x v="0"/>
    <x v="17"/>
    <x v="65"/>
    <x v="2"/>
    <x v="1"/>
    <x v="67"/>
    <x v="68"/>
    <x v="68"/>
    <x v="16"/>
    <x v="1"/>
    <x v="8"/>
    <x v="0"/>
    <x v="0"/>
    <x v="0"/>
    <x v="66"/>
    <x v="64"/>
    <x v="0"/>
    <x v="0"/>
    <x v="0"/>
    <x v="0"/>
    <x v="0"/>
    <x v="0"/>
    <x v="0"/>
    <x v="66"/>
    <x v="66"/>
    <x v="0"/>
    <x v="66"/>
    <x v="0"/>
    <x v="64"/>
    <x v="64"/>
    <x v="60"/>
    <x v="0"/>
    <x v="0"/>
    <x v="0"/>
    <x v="68"/>
    <x v="67"/>
    <x v="0"/>
    <x v="0"/>
    <x v="0"/>
    <x v="0"/>
    <x v="61"/>
    <x v="63"/>
    <x v="61"/>
    <x v="61"/>
    <x v="61"/>
    <x v="59"/>
    <x v="63"/>
    <x v="60"/>
    <x v="61"/>
    <x v="60"/>
    <x v="59"/>
    <x v="63"/>
    <x v="60"/>
    <x v="61"/>
    <x v="60"/>
    <x v="59"/>
    <x v="63"/>
    <x v="60"/>
    <x v="61"/>
    <x v="60"/>
  </r>
  <r>
    <x v="0"/>
    <x v="70"/>
    <x v="70"/>
    <x v="1"/>
    <x v="1"/>
    <x v="1"/>
    <x v="66"/>
    <x v="1"/>
    <x v="4"/>
    <x v="68"/>
    <x v="69"/>
    <x v="69"/>
    <x v="10"/>
    <x v="1"/>
    <x v="6"/>
    <x v="1"/>
    <x v="0"/>
    <x v="1"/>
    <x v="67"/>
    <x v="65"/>
    <x v="0"/>
    <x v="0"/>
    <x v="0"/>
    <x v="0"/>
    <x v="0"/>
    <x v="0"/>
    <x v="0"/>
    <x v="67"/>
    <x v="67"/>
    <x v="0"/>
    <x v="67"/>
    <x v="0"/>
    <x v="65"/>
    <x v="65"/>
    <x v="61"/>
    <x v="0"/>
    <x v="0"/>
    <x v="0"/>
    <x v="69"/>
    <x v="68"/>
    <x v="0"/>
    <x v="0"/>
    <x v="0"/>
    <x v="0"/>
    <x v="62"/>
    <x v="64"/>
    <x v="62"/>
    <x v="62"/>
    <x v="62"/>
    <x v="60"/>
    <x v="64"/>
    <x v="61"/>
    <x v="62"/>
    <x v="61"/>
    <x v="60"/>
    <x v="64"/>
    <x v="61"/>
    <x v="62"/>
    <x v="61"/>
    <x v="60"/>
    <x v="64"/>
    <x v="61"/>
    <x v="62"/>
    <x v="61"/>
  </r>
  <r>
    <x v="0"/>
    <x v="71"/>
    <x v="71"/>
    <x v="1"/>
    <x v="1"/>
    <x v="1"/>
    <x v="67"/>
    <x v="2"/>
    <x v="2"/>
    <x v="69"/>
    <x v="70"/>
    <x v="70"/>
    <x v="12"/>
    <x v="6"/>
    <x v="8"/>
    <x v="1"/>
    <x v="0"/>
    <x v="1"/>
    <x v="68"/>
    <x v="66"/>
    <x v="0"/>
    <x v="0"/>
    <x v="0"/>
    <x v="0"/>
    <x v="0"/>
    <x v="0"/>
    <x v="0"/>
    <x v="68"/>
    <x v="68"/>
    <x v="15"/>
    <x v="68"/>
    <x v="0"/>
    <x v="66"/>
    <x v="66"/>
    <x v="62"/>
    <x v="0"/>
    <x v="0"/>
    <x v="0"/>
    <x v="70"/>
    <x v="69"/>
    <x v="0"/>
    <x v="0"/>
    <x v="0"/>
    <x v="0"/>
    <x v="63"/>
    <x v="65"/>
    <x v="63"/>
    <x v="63"/>
    <x v="63"/>
    <x v="61"/>
    <x v="65"/>
    <x v="62"/>
    <x v="63"/>
    <x v="62"/>
    <x v="61"/>
    <x v="65"/>
    <x v="62"/>
    <x v="63"/>
    <x v="62"/>
    <x v="61"/>
    <x v="65"/>
    <x v="62"/>
    <x v="63"/>
    <x v="62"/>
  </r>
  <r>
    <x v="0"/>
    <x v="72"/>
    <x v="72"/>
    <x v="0"/>
    <x v="0"/>
    <x v="18"/>
    <x v="55"/>
    <x v="2"/>
    <x v="1"/>
    <x v="70"/>
    <x v="71"/>
    <x v="71"/>
    <x v="15"/>
    <x v="6"/>
    <x v="8"/>
    <x v="0"/>
    <x v="0"/>
    <x v="0"/>
    <x v="69"/>
    <x v="67"/>
    <x v="0"/>
    <x v="0"/>
    <x v="0"/>
    <x v="0"/>
    <x v="0"/>
    <x v="0"/>
    <x v="0"/>
    <x v="69"/>
    <x v="69"/>
    <x v="0"/>
    <x v="69"/>
    <x v="0"/>
    <x v="67"/>
    <x v="67"/>
    <x v="63"/>
    <x v="0"/>
    <x v="0"/>
    <x v="0"/>
    <x v="71"/>
    <x v="70"/>
    <x v="0"/>
    <x v="0"/>
    <x v="0"/>
    <x v="0"/>
    <x v="64"/>
    <x v="66"/>
    <x v="64"/>
    <x v="64"/>
    <x v="64"/>
    <x v="62"/>
    <x v="66"/>
    <x v="63"/>
    <x v="64"/>
    <x v="63"/>
    <x v="62"/>
    <x v="66"/>
    <x v="63"/>
    <x v="64"/>
    <x v="63"/>
    <x v="62"/>
    <x v="66"/>
    <x v="63"/>
    <x v="64"/>
    <x v="63"/>
  </r>
  <r>
    <x v="0"/>
    <x v="73"/>
    <x v="73"/>
    <x v="0"/>
    <x v="0"/>
    <x v="7"/>
    <x v="68"/>
    <x v="2"/>
    <x v="5"/>
    <x v="71"/>
    <x v="72"/>
    <x v="72"/>
    <x v="19"/>
    <x v="1"/>
    <x v="8"/>
    <x v="0"/>
    <x v="0"/>
    <x v="0"/>
    <x v="70"/>
    <x v="68"/>
    <x v="0"/>
    <x v="0"/>
    <x v="0"/>
    <x v="0"/>
    <x v="0"/>
    <x v="0"/>
    <x v="0"/>
    <x v="70"/>
    <x v="70"/>
    <x v="16"/>
    <x v="70"/>
    <x v="0"/>
    <x v="68"/>
    <x v="68"/>
    <x v="64"/>
    <x v="0"/>
    <x v="0"/>
    <x v="0"/>
    <x v="72"/>
    <x v="71"/>
    <x v="0"/>
    <x v="0"/>
    <x v="0"/>
    <x v="0"/>
    <x v="65"/>
    <x v="67"/>
    <x v="65"/>
    <x v="65"/>
    <x v="65"/>
    <x v="63"/>
    <x v="67"/>
    <x v="64"/>
    <x v="65"/>
    <x v="64"/>
    <x v="63"/>
    <x v="67"/>
    <x v="64"/>
    <x v="65"/>
    <x v="64"/>
    <x v="63"/>
    <x v="67"/>
    <x v="64"/>
    <x v="65"/>
    <x v="64"/>
  </r>
  <r>
    <x v="0"/>
    <x v="74"/>
    <x v="74"/>
    <x v="2"/>
    <x v="3"/>
    <x v="8"/>
    <x v="69"/>
    <x v="2"/>
    <x v="3"/>
    <x v="72"/>
    <x v="73"/>
    <x v="73"/>
    <x v="10"/>
    <x v="4"/>
    <x v="8"/>
    <x v="0"/>
    <x v="0"/>
    <x v="0"/>
    <x v="71"/>
    <x v="69"/>
    <x v="0"/>
    <x v="0"/>
    <x v="0"/>
    <x v="0"/>
    <x v="0"/>
    <x v="0"/>
    <x v="0"/>
    <x v="71"/>
    <x v="71"/>
    <x v="0"/>
    <x v="71"/>
    <x v="0"/>
    <x v="69"/>
    <x v="69"/>
    <x v="65"/>
    <x v="0"/>
    <x v="0"/>
    <x v="0"/>
    <x v="73"/>
    <x v="72"/>
    <x v="0"/>
    <x v="0"/>
    <x v="0"/>
    <x v="0"/>
    <x v="66"/>
    <x v="68"/>
    <x v="66"/>
    <x v="66"/>
    <x v="66"/>
    <x v="64"/>
    <x v="68"/>
    <x v="65"/>
    <x v="66"/>
    <x v="65"/>
    <x v="64"/>
    <x v="68"/>
    <x v="65"/>
    <x v="66"/>
    <x v="65"/>
    <x v="64"/>
    <x v="68"/>
    <x v="65"/>
    <x v="66"/>
    <x v="65"/>
  </r>
  <r>
    <x v="0"/>
    <x v="75"/>
    <x v="75"/>
    <x v="1"/>
    <x v="1"/>
    <x v="1"/>
    <x v="70"/>
    <x v="2"/>
    <x v="1"/>
    <x v="73"/>
    <x v="74"/>
    <x v="74"/>
    <x v="24"/>
    <x v="13"/>
    <x v="8"/>
    <x v="1"/>
    <x v="0"/>
    <x v="1"/>
    <x v="72"/>
    <x v="70"/>
    <x v="0"/>
    <x v="0"/>
    <x v="0"/>
    <x v="0"/>
    <x v="0"/>
    <x v="0"/>
    <x v="0"/>
    <x v="72"/>
    <x v="72"/>
    <x v="0"/>
    <x v="72"/>
    <x v="0"/>
    <x v="70"/>
    <x v="70"/>
    <x v="66"/>
    <x v="0"/>
    <x v="0"/>
    <x v="0"/>
    <x v="74"/>
    <x v="73"/>
    <x v="0"/>
    <x v="0"/>
    <x v="0"/>
    <x v="0"/>
    <x v="67"/>
    <x v="69"/>
    <x v="67"/>
    <x v="67"/>
    <x v="67"/>
    <x v="65"/>
    <x v="69"/>
    <x v="66"/>
    <x v="67"/>
    <x v="66"/>
    <x v="65"/>
    <x v="69"/>
    <x v="66"/>
    <x v="67"/>
    <x v="66"/>
    <x v="65"/>
    <x v="69"/>
    <x v="66"/>
    <x v="67"/>
    <x v="66"/>
  </r>
  <r>
    <x v="0"/>
    <x v="76"/>
    <x v="76"/>
    <x v="2"/>
    <x v="3"/>
    <x v="8"/>
    <x v="71"/>
    <x v="2"/>
    <x v="3"/>
    <x v="74"/>
    <x v="75"/>
    <x v="75"/>
    <x v="10"/>
    <x v="11"/>
    <x v="8"/>
    <x v="0"/>
    <x v="0"/>
    <x v="0"/>
    <x v="73"/>
    <x v="71"/>
    <x v="0"/>
    <x v="0"/>
    <x v="0"/>
    <x v="0"/>
    <x v="0"/>
    <x v="0"/>
    <x v="0"/>
    <x v="73"/>
    <x v="73"/>
    <x v="0"/>
    <x v="73"/>
    <x v="0"/>
    <x v="71"/>
    <x v="71"/>
    <x v="67"/>
    <x v="0"/>
    <x v="0"/>
    <x v="0"/>
    <x v="75"/>
    <x v="74"/>
    <x v="0"/>
    <x v="0"/>
    <x v="0"/>
    <x v="0"/>
    <x v="68"/>
    <x v="70"/>
    <x v="68"/>
    <x v="68"/>
    <x v="68"/>
    <x v="66"/>
    <x v="70"/>
    <x v="67"/>
    <x v="68"/>
    <x v="67"/>
    <x v="66"/>
    <x v="70"/>
    <x v="67"/>
    <x v="68"/>
    <x v="67"/>
    <x v="66"/>
    <x v="70"/>
    <x v="67"/>
    <x v="68"/>
    <x v="67"/>
  </r>
  <r>
    <x v="0"/>
    <x v="77"/>
    <x v="77"/>
    <x v="0"/>
    <x v="0"/>
    <x v="13"/>
    <x v="72"/>
    <x v="2"/>
    <x v="1"/>
    <x v="75"/>
    <x v="76"/>
    <x v="76"/>
    <x v="10"/>
    <x v="4"/>
    <x v="8"/>
    <x v="0"/>
    <x v="0"/>
    <x v="0"/>
    <x v="74"/>
    <x v="72"/>
    <x v="0"/>
    <x v="0"/>
    <x v="0"/>
    <x v="0"/>
    <x v="0"/>
    <x v="0"/>
    <x v="0"/>
    <x v="74"/>
    <x v="74"/>
    <x v="0"/>
    <x v="74"/>
    <x v="0"/>
    <x v="72"/>
    <x v="72"/>
    <x v="68"/>
    <x v="0"/>
    <x v="0"/>
    <x v="0"/>
    <x v="76"/>
    <x v="75"/>
    <x v="0"/>
    <x v="0"/>
    <x v="0"/>
    <x v="0"/>
    <x v="69"/>
    <x v="71"/>
    <x v="69"/>
    <x v="69"/>
    <x v="69"/>
    <x v="67"/>
    <x v="71"/>
    <x v="68"/>
    <x v="69"/>
    <x v="68"/>
    <x v="67"/>
    <x v="71"/>
    <x v="68"/>
    <x v="69"/>
    <x v="68"/>
    <x v="67"/>
    <x v="71"/>
    <x v="68"/>
    <x v="69"/>
    <x v="68"/>
  </r>
  <r>
    <x v="0"/>
    <x v="78"/>
    <x v="78"/>
    <x v="1"/>
    <x v="1"/>
    <x v="1"/>
    <x v="73"/>
    <x v="2"/>
    <x v="2"/>
    <x v="76"/>
    <x v="77"/>
    <x v="77"/>
    <x v="25"/>
    <x v="1"/>
    <x v="8"/>
    <x v="1"/>
    <x v="0"/>
    <x v="1"/>
    <x v="75"/>
    <x v="73"/>
    <x v="0"/>
    <x v="0"/>
    <x v="0"/>
    <x v="0"/>
    <x v="0"/>
    <x v="0"/>
    <x v="0"/>
    <x v="75"/>
    <x v="75"/>
    <x v="17"/>
    <x v="75"/>
    <x v="0"/>
    <x v="73"/>
    <x v="73"/>
    <x v="69"/>
    <x v="0"/>
    <x v="0"/>
    <x v="0"/>
    <x v="77"/>
    <x v="76"/>
    <x v="0"/>
    <x v="0"/>
    <x v="0"/>
    <x v="0"/>
    <x v="70"/>
    <x v="72"/>
    <x v="70"/>
    <x v="70"/>
    <x v="70"/>
    <x v="68"/>
    <x v="72"/>
    <x v="69"/>
    <x v="70"/>
    <x v="69"/>
    <x v="68"/>
    <x v="72"/>
    <x v="69"/>
    <x v="70"/>
    <x v="69"/>
    <x v="68"/>
    <x v="72"/>
    <x v="69"/>
    <x v="70"/>
    <x v="69"/>
  </r>
  <r>
    <x v="0"/>
    <x v="79"/>
    <x v="79"/>
    <x v="0"/>
    <x v="0"/>
    <x v="10"/>
    <x v="74"/>
    <x v="2"/>
    <x v="1"/>
    <x v="77"/>
    <x v="78"/>
    <x v="78"/>
    <x v="4"/>
    <x v="8"/>
    <x v="7"/>
    <x v="7"/>
    <x v="6"/>
    <x v="0"/>
    <x v="76"/>
    <x v="16"/>
    <x v="0"/>
    <x v="0"/>
    <x v="0"/>
    <x v="0"/>
    <x v="0"/>
    <x v="0"/>
    <x v="0"/>
    <x v="76"/>
    <x v="76"/>
    <x v="0"/>
    <x v="76"/>
    <x v="0"/>
    <x v="16"/>
    <x v="16"/>
    <x v="16"/>
    <x v="0"/>
    <x v="0"/>
    <x v="0"/>
    <x v="78"/>
    <x v="77"/>
    <x v="0"/>
    <x v="0"/>
    <x v="0"/>
    <x v="0"/>
    <x v="71"/>
    <x v="73"/>
    <x v="71"/>
    <x v="71"/>
    <x v="71"/>
    <x v="69"/>
    <x v="73"/>
    <x v="70"/>
    <x v="71"/>
    <x v="70"/>
    <x v="69"/>
    <x v="73"/>
    <x v="70"/>
    <x v="71"/>
    <x v="70"/>
    <x v="69"/>
    <x v="73"/>
    <x v="70"/>
    <x v="71"/>
    <x v="70"/>
  </r>
  <r>
    <x v="0"/>
    <x v="80"/>
    <x v="80"/>
    <x v="0"/>
    <x v="0"/>
    <x v="19"/>
    <x v="75"/>
    <x v="2"/>
    <x v="1"/>
    <x v="78"/>
    <x v="79"/>
    <x v="79"/>
    <x v="11"/>
    <x v="5"/>
    <x v="10"/>
    <x v="8"/>
    <x v="7"/>
    <x v="0"/>
    <x v="77"/>
    <x v="16"/>
    <x v="0"/>
    <x v="0"/>
    <x v="0"/>
    <x v="0"/>
    <x v="0"/>
    <x v="0"/>
    <x v="0"/>
    <x v="76"/>
    <x v="76"/>
    <x v="0"/>
    <x v="76"/>
    <x v="0"/>
    <x v="16"/>
    <x v="16"/>
    <x v="16"/>
    <x v="0"/>
    <x v="0"/>
    <x v="0"/>
    <x v="79"/>
    <x v="78"/>
    <x v="0"/>
    <x v="0"/>
    <x v="0"/>
    <x v="0"/>
    <x v="71"/>
    <x v="73"/>
    <x v="71"/>
    <x v="71"/>
    <x v="71"/>
    <x v="69"/>
    <x v="73"/>
    <x v="70"/>
    <x v="71"/>
    <x v="70"/>
    <x v="69"/>
    <x v="73"/>
    <x v="70"/>
    <x v="71"/>
    <x v="70"/>
    <x v="69"/>
    <x v="73"/>
    <x v="70"/>
    <x v="71"/>
    <x v="70"/>
  </r>
  <r>
    <x v="0"/>
    <x v="81"/>
    <x v="81"/>
    <x v="1"/>
    <x v="1"/>
    <x v="3"/>
    <x v="76"/>
    <x v="2"/>
    <x v="3"/>
    <x v="79"/>
    <x v="80"/>
    <x v="80"/>
    <x v="23"/>
    <x v="0"/>
    <x v="3"/>
    <x v="9"/>
    <x v="5"/>
    <x v="1"/>
    <x v="78"/>
    <x v="16"/>
    <x v="0"/>
    <x v="0"/>
    <x v="0"/>
    <x v="0"/>
    <x v="0"/>
    <x v="0"/>
    <x v="0"/>
    <x v="76"/>
    <x v="76"/>
    <x v="0"/>
    <x v="76"/>
    <x v="0"/>
    <x v="16"/>
    <x v="16"/>
    <x v="16"/>
    <x v="0"/>
    <x v="0"/>
    <x v="0"/>
    <x v="80"/>
    <x v="79"/>
    <x v="0"/>
    <x v="0"/>
    <x v="0"/>
    <x v="0"/>
    <x v="72"/>
    <x v="73"/>
    <x v="71"/>
    <x v="72"/>
    <x v="71"/>
    <x v="70"/>
    <x v="73"/>
    <x v="70"/>
    <x v="72"/>
    <x v="70"/>
    <x v="70"/>
    <x v="73"/>
    <x v="70"/>
    <x v="72"/>
    <x v="70"/>
    <x v="70"/>
    <x v="73"/>
    <x v="70"/>
    <x v="72"/>
    <x v="70"/>
  </r>
  <r>
    <x v="0"/>
    <x v="82"/>
    <x v="82"/>
    <x v="0"/>
    <x v="0"/>
    <x v="20"/>
    <x v="77"/>
    <x v="2"/>
    <x v="5"/>
    <x v="46"/>
    <x v="81"/>
    <x v="81"/>
    <x v="0"/>
    <x v="0"/>
    <x v="0"/>
    <x v="0"/>
    <x v="0"/>
    <x v="0"/>
    <x v="79"/>
    <x v="74"/>
    <x v="0"/>
    <x v="0"/>
    <x v="0"/>
    <x v="0"/>
    <x v="0"/>
    <x v="0"/>
    <x v="0"/>
    <x v="77"/>
    <x v="77"/>
    <x v="0"/>
    <x v="77"/>
    <x v="0"/>
    <x v="74"/>
    <x v="74"/>
    <x v="70"/>
    <x v="0"/>
    <x v="0"/>
    <x v="0"/>
    <x v="81"/>
    <x v="80"/>
    <x v="0"/>
    <x v="0"/>
    <x v="0"/>
    <x v="0"/>
    <x v="73"/>
    <x v="74"/>
    <x v="72"/>
    <x v="73"/>
    <x v="72"/>
    <x v="71"/>
    <x v="74"/>
    <x v="71"/>
    <x v="73"/>
    <x v="71"/>
    <x v="71"/>
    <x v="74"/>
    <x v="71"/>
    <x v="73"/>
    <x v="71"/>
    <x v="71"/>
    <x v="74"/>
    <x v="71"/>
    <x v="73"/>
    <x v="71"/>
  </r>
  <r>
    <x v="0"/>
    <x v="83"/>
    <x v="83"/>
    <x v="1"/>
    <x v="1"/>
    <x v="1"/>
    <x v="78"/>
    <x v="1"/>
    <x v="1"/>
    <x v="80"/>
    <x v="82"/>
    <x v="82"/>
    <x v="26"/>
    <x v="10"/>
    <x v="6"/>
    <x v="1"/>
    <x v="0"/>
    <x v="1"/>
    <x v="80"/>
    <x v="75"/>
    <x v="0"/>
    <x v="0"/>
    <x v="0"/>
    <x v="0"/>
    <x v="0"/>
    <x v="0"/>
    <x v="0"/>
    <x v="78"/>
    <x v="78"/>
    <x v="18"/>
    <x v="78"/>
    <x v="0"/>
    <x v="75"/>
    <x v="75"/>
    <x v="71"/>
    <x v="0"/>
    <x v="0"/>
    <x v="0"/>
    <x v="82"/>
    <x v="81"/>
    <x v="0"/>
    <x v="0"/>
    <x v="0"/>
    <x v="0"/>
    <x v="74"/>
    <x v="75"/>
    <x v="73"/>
    <x v="74"/>
    <x v="73"/>
    <x v="72"/>
    <x v="75"/>
    <x v="72"/>
    <x v="74"/>
    <x v="72"/>
    <x v="72"/>
    <x v="75"/>
    <x v="72"/>
    <x v="74"/>
    <x v="72"/>
    <x v="72"/>
    <x v="75"/>
    <x v="72"/>
    <x v="74"/>
    <x v="72"/>
  </r>
  <r>
    <x v="0"/>
    <x v="84"/>
    <x v="84"/>
    <x v="1"/>
    <x v="1"/>
    <x v="1"/>
    <x v="79"/>
    <x v="2"/>
    <x v="1"/>
    <x v="81"/>
    <x v="83"/>
    <x v="83"/>
    <x v="13"/>
    <x v="13"/>
    <x v="8"/>
    <x v="1"/>
    <x v="0"/>
    <x v="1"/>
    <x v="81"/>
    <x v="76"/>
    <x v="0"/>
    <x v="0"/>
    <x v="0"/>
    <x v="0"/>
    <x v="0"/>
    <x v="0"/>
    <x v="0"/>
    <x v="79"/>
    <x v="79"/>
    <x v="0"/>
    <x v="79"/>
    <x v="0"/>
    <x v="76"/>
    <x v="76"/>
    <x v="72"/>
    <x v="0"/>
    <x v="0"/>
    <x v="0"/>
    <x v="83"/>
    <x v="82"/>
    <x v="0"/>
    <x v="0"/>
    <x v="0"/>
    <x v="0"/>
    <x v="75"/>
    <x v="76"/>
    <x v="74"/>
    <x v="75"/>
    <x v="74"/>
    <x v="73"/>
    <x v="76"/>
    <x v="73"/>
    <x v="75"/>
    <x v="73"/>
    <x v="73"/>
    <x v="76"/>
    <x v="73"/>
    <x v="75"/>
    <x v="73"/>
    <x v="73"/>
    <x v="76"/>
    <x v="73"/>
    <x v="75"/>
    <x v="73"/>
  </r>
  <r>
    <x v="0"/>
    <x v="85"/>
    <x v="85"/>
    <x v="0"/>
    <x v="0"/>
    <x v="6"/>
    <x v="80"/>
    <x v="2"/>
    <x v="5"/>
    <x v="82"/>
    <x v="84"/>
    <x v="84"/>
    <x v="19"/>
    <x v="4"/>
    <x v="8"/>
    <x v="0"/>
    <x v="0"/>
    <x v="0"/>
    <x v="82"/>
    <x v="77"/>
    <x v="0"/>
    <x v="0"/>
    <x v="0"/>
    <x v="0"/>
    <x v="0"/>
    <x v="0"/>
    <x v="0"/>
    <x v="80"/>
    <x v="80"/>
    <x v="0"/>
    <x v="80"/>
    <x v="0"/>
    <x v="77"/>
    <x v="77"/>
    <x v="73"/>
    <x v="0"/>
    <x v="0"/>
    <x v="0"/>
    <x v="84"/>
    <x v="83"/>
    <x v="0"/>
    <x v="0"/>
    <x v="0"/>
    <x v="0"/>
    <x v="76"/>
    <x v="77"/>
    <x v="75"/>
    <x v="76"/>
    <x v="75"/>
    <x v="74"/>
    <x v="77"/>
    <x v="74"/>
    <x v="76"/>
    <x v="74"/>
    <x v="74"/>
    <x v="77"/>
    <x v="74"/>
    <x v="76"/>
    <x v="74"/>
    <x v="74"/>
    <x v="77"/>
    <x v="74"/>
    <x v="76"/>
    <x v="74"/>
  </r>
  <r>
    <x v="0"/>
    <x v="86"/>
    <x v="86"/>
    <x v="1"/>
    <x v="1"/>
    <x v="1"/>
    <x v="81"/>
    <x v="2"/>
    <x v="4"/>
    <x v="83"/>
    <x v="85"/>
    <x v="85"/>
    <x v="15"/>
    <x v="4"/>
    <x v="8"/>
    <x v="1"/>
    <x v="0"/>
    <x v="1"/>
    <x v="83"/>
    <x v="78"/>
    <x v="0"/>
    <x v="0"/>
    <x v="0"/>
    <x v="0"/>
    <x v="0"/>
    <x v="0"/>
    <x v="0"/>
    <x v="81"/>
    <x v="81"/>
    <x v="0"/>
    <x v="81"/>
    <x v="0"/>
    <x v="78"/>
    <x v="78"/>
    <x v="74"/>
    <x v="0"/>
    <x v="0"/>
    <x v="0"/>
    <x v="85"/>
    <x v="84"/>
    <x v="0"/>
    <x v="0"/>
    <x v="0"/>
    <x v="0"/>
    <x v="77"/>
    <x v="78"/>
    <x v="76"/>
    <x v="77"/>
    <x v="76"/>
    <x v="75"/>
    <x v="78"/>
    <x v="75"/>
    <x v="77"/>
    <x v="75"/>
    <x v="75"/>
    <x v="78"/>
    <x v="75"/>
    <x v="77"/>
    <x v="75"/>
    <x v="75"/>
    <x v="78"/>
    <x v="75"/>
    <x v="77"/>
    <x v="75"/>
  </r>
  <r>
    <x v="0"/>
    <x v="87"/>
    <x v="87"/>
    <x v="1"/>
    <x v="1"/>
    <x v="1"/>
    <x v="82"/>
    <x v="2"/>
    <x v="2"/>
    <x v="84"/>
    <x v="86"/>
    <x v="86"/>
    <x v="27"/>
    <x v="11"/>
    <x v="8"/>
    <x v="1"/>
    <x v="0"/>
    <x v="1"/>
    <x v="84"/>
    <x v="79"/>
    <x v="0"/>
    <x v="0"/>
    <x v="0"/>
    <x v="0"/>
    <x v="0"/>
    <x v="0"/>
    <x v="0"/>
    <x v="82"/>
    <x v="82"/>
    <x v="0"/>
    <x v="82"/>
    <x v="0"/>
    <x v="79"/>
    <x v="79"/>
    <x v="75"/>
    <x v="0"/>
    <x v="0"/>
    <x v="0"/>
    <x v="86"/>
    <x v="40"/>
    <x v="0"/>
    <x v="0"/>
    <x v="0"/>
    <x v="0"/>
    <x v="78"/>
    <x v="79"/>
    <x v="77"/>
    <x v="78"/>
    <x v="77"/>
    <x v="76"/>
    <x v="79"/>
    <x v="76"/>
    <x v="78"/>
    <x v="76"/>
    <x v="76"/>
    <x v="79"/>
    <x v="76"/>
    <x v="78"/>
    <x v="76"/>
    <x v="76"/>
    <x v="79"/>
    <x v="76"/>
    <x v="78"/>
    <x v="76"/>
  </r>
  <r>
    <x v="0"/>
    <x v="88"/>
    <x v="88"/>
    <x v="0"/>
    <x v="0"/>
    <x v="15"/>
    <x v="83"/>
    <x v="2"/>
    <x v="5"/>
    <x v="85"/>
    <x v="87"/>
    <x v="87"/>
    <x v="19"/>
    <x v="4"/>
    <x v="8"/>
    <x v="0"/>
    <x v="0"/>
    <x v="0"/>
    <x v="85"/>
    <x v="80"/>
    <x v="0"/>
    <x v="0"/>
    <x v="0"/>
    <x v="0"/>
    <x v="0"/>
    <x v="0"/>
    <x v="0"/>
    <x v="83"/>
    <x v="83"/>
    <x v="0"/>
    <x v="83"/>
    <x v="0"/>
    <x v="80"/>
    <x v="80"/>
    <x v="76"/>
    <x v="0"/>
    <x v="0"/>
    <x v="0"/>
    <x v="87"/>
    <x v="85"/>
    <x v="0"/>
    <x v="0"/>
    <x v="0"/>
    <x v="0"/>
    <x v="79"/>
    <x v="80"/>
    <x v="78"/>
    <x v="79"/>
    <x v="78"/>
    <x v="77"/>
    <x v="80"/>
    <x v="77"/>
    <x v="79"/>
    <x v="77"/>
    <x v="77"/>
    <x v="80"/>
    <x v="77"/>
    <x v="79"/>
    <x v="77"/>
    <x v="77"/>
    <x v="80"/>
    <x v="77"/>
    <x v="79"/>
    <x v="77"/>
  </r>
  <r>
    <x v="0"/>
    <x v="89"/>
    <x v="89"/>
    <x v="0"/>
    <x v="0"/>
    <x v="0"/>
    <x v="84"/>
    <x v="2"/>
    <x v="1"/>
    <x v="45"/>
    <x v="88"/>
    <x v="88"/>
    <x v="1"/>
    <x v="4"/>
    <x v="8"/>
    <x v="0"/>
    <x v="0"/>
    <x v="0"/>
    <x v="86"/>
    <x v="81"/>
    <x v="0"/>
    <x v="0"/>
    <x v="0"/>
    <x v="0"/>
    <x v="0"/>
    <x v="0"/>
    <x v="0"/>
    <x v="84"/>
    <x v="84"/>
    <x v="0"/>
    <x v="84"/>
    <x v="0"/>
    <x v="81"/>
    <x v="81"/>
    <x v="77"/>
    <x v="0"/>
    <x v="0"/>
    <x v="0"/>
    <x v="88"/>
    <x v="86"/>
    <x v="0"/>
    <x v="0"/>
    <x v="0"/>
    <x v="0"/>
    <x v="80"/>
    <x v="81"/>
    <x v="79"/>
    <x v="80"/>
    <x v="79"/>
    <x v="78"/>
    <x v="81"/>
    <x v="78"/>
    <x v="80"/>
    <x v="78"/>
    <x v="78"/>
    <x v="81"/>
    <x v="78"/>
    <x v="80"/>
    <x v="78"/>
    <x v="78"/>
    <x v="81"/>
    <x v="78"/>
    <x v="80"/>
    <x v="78"/>
  </r>
  <r>
    <x v="0"/>
    <x v="90"/>
    <x v="90"/>
    <x v="0"/>
    <x v="0"/>
    <x v="0"/>
    <x v="85"/>
    <x v="2"/>
    <x v="1"/>
    <x v="86"/>
    <x v="89"/>
    <x v="89"/>
    <x v="24"/>
    <x v="4"/>
    <x v="8"/>
    <x v="0"/>
    <x v="0"/>
    <x v="0"/>
    <x v="87"/>
    <x v="82"/>
    <x v="0"/>
    <x v="0"/>
    <x v="0"/>
    <x v="0"/>
    <x v="0"/>
    <x v="0"/>
    <x v="0"/>
    <x v="85"/>
    <x v="85"/>
    <x v="0"/>
    <x v="85"/>
    <x v="0"/>
    <x v="82"/>
    <x v="82"/>
    <x v="78"/>
    <x v="0"/>
    <x v="0"/>
    <x v="0"/>
    <x v="89"/>
    <x v="40"/>
    <x v="0"/>
    <x v="0"/>
    <x v="0"/>
    <x v="0"/>
    <x v="13"/>
    <x v="82"/>
    <x v="80"/>
    <x v="81"/>
    <x v="80"/>
    <x v="11"/>
    <x v="82"/>
    <x v="79"/>
    <x v="81"/>
    <x v="79"/>
    <x v="11"/>
    <x v="82"/>
    <x v="79"/>
    <x v="81"/>
    <x v="79"/>
    <x v="11"/>
    <x v="82"/>
    <x v="79"/>
    <x v="81"/>
    <x v="79"/>
  </r>
  <r>
    <x v="1"/>
    <x v="91"/>
    <x v="91"/>
    <x v="3"/>
    <x v="5"/>
    <x v="21"/>
    <x v="86"/>
    <x v="3"/>
    <x v="7"/>
    <x v="87"/>
    <x v="90"/>
    <x v="90"/>
    <x v="28"/>
    <x v="14"/>
    <x v="11"/>
    <x v="10"/>
    <x v="8"/>
    <x v="2"/>
    <x v="88"/>
    <x v="83"/>
    <x v="0"/>
    <x v="0"/>
    <x v="0"/>
    <x v="0"/>
    <x v="0"/>
    <x v="0"/>
    <x v="0"/>
    <x v="86"/>
    <x v="86"/>
    <x v="19"/>
    <x v="86"/>
    <x v="1"/>
    <x v="83"/>
    <x v="83"/>
    <x v="79"/>
    <x v="0"/>
    <x v="0"/>
    <x v="0"/>
    <x v="90"/>
    <x v="87"/>
    <x v="0"/>
    <x v="0"/>
    <x v="0"/>
    <x v="0"/>
    <x v="81"/>
    <x v="83"/>
    <x v="81"/>
    <x v="82"/>
    <x v="81"/>
    <x v="79"/>
    <x v="83"/>
    <x v="80"/>
    <x v="82"/>
    <x v="80"/>
    <x v="79"/>
    <x v="83"/>
    <x v="80"/>
    <x v="82"/>
    <x v="80"/>
    <x v="79"/>
    <x v="83"/>
    <x v="80"/>
    <x v="82"/>
    <x v="80"/>
  </r>
  <r>
    <x v="1"/>
    <x v="91"/>
    <x v="91"/>
    <x v="3"/>
    <x v="5"/>
    <x v="21"/>
    <x v="86"/>
    <x v="3"/>
    <x v="7"/>
    <x v="87"/>
    <x v="90"/>
    <x v="90"/>
    <x v="28"/>
    <x v="14"/>
    <x v="11"/>
    <x v="10"/>
    <x v="8"/>
    <x v="2"/>
    <x v="88"/>
    <x v="83"/>
    <x v="0"/>
    <x v="0"/>
    <x v="0"/>
    <x v="0"/>
    <x v="0"/>
    <x v="0"/>
    <x v="0"/>
    <x v="87"/>
    <x v="86"/>
    <x v="19"/>
    <x v="86"/>
    <x v="1"/>
    <x v="83"/>
    <x v="83"/>
    <x v="79"/>
    <x v="0"/>
    <x v="0"/>
    <x v="0"/>
    <x v="90"/>
    <x v="87"/>
    <x v="0"/>
    <x v="0"/>
    <x v="0"/>
    <x v="0"/>
    <x v="81"/>
    <x v="83"/>
    <x v="81"/>
    <x v="82"/>
    <x v="81"/>
    <x v="79"/>
    <x v="83"/>
    <x v="80"/>
    <x v="82"/>
    <x v="80"/>
    <x v="79"/>
    <x v="83"/>
    <x v="80"/>
    <x v="82"/>
    <x v="80"/>
    <x v="79"/>
    <x v="83"/>
    <x v="80"/>
    <x v="82"/>
    <x v="80"/>
  </r>
  <r>
    <x v="1"/>
    <x v="91"/>
    <x v="91"/>
    <x v="3"/>
    <x v="5"/>
    <x v="21"/>
    <x v="86"/>
    <x v="3"/>
    <x v="7"/>
    <x v="87"/>
    <x v="90"/>
    <x v="90"/>
    <x v="28"/>
    <x v="14"/>
    <x v="11"/>
    <x v="10"/>
    <x v="8"/>
    <x v="2"/>
    <x v="88"/>
    <x v="83"/>
    <x v="0"/>
    <x v="0"/>
    <x v="0"/>
    <x v="0"/>
    <x v="0"/>
    <x v="0"/>
    <x v="0"/>
    <x v="88"/>
    <x v="86"/>
    <x v="19"/>
    <x v="86"/>
    <x v="1"/>
    <x v="83"/>
    <x v="83"/>
    <x v="79"/>
    <x v="0"/>
    <x v="0"/>
    <x v="0"/>
    <x v="90"/>
    <x v="87"/>
    <x v="0"/>
    <x v="0"/>
    <x v="0"/>
    <x v="0"/>
    <x v="81"/>
    <x v="83"/>
    <x v="81"/>
    <x v="82"/>
    <x v="81"/>
    <x v="79"/>
    <x v="83"/>
    <x v="80"/>
    <x v="82"/>
    <x v="80"/>
    <x v="79"/>
    <x v="83"/>
    <x v="80"/>
    <x v="82"/>
    <x v="80"/>
    <x v="79"/>
    <x v="83"/>
    <x v="80"/>
    <x v="82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0" cacheId="172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E9" firstHeaderRow="0" firstDataRow="1" firstDataCol="1" rowPageCount="1" colPageCount="1"/>
  <pivotFields count="41"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85"/>
        <item x="70"/>
        <item x="71"/>
        <item x="72"/>
        <item x="73"/>
        <item x="74"/>
        <item x="75"/>
        <item x="81"/>
        <item x="82"/>
        <item x="76"/>
        <item x="77"/>
        <item x="78"/>
        <item x="79"/>
        <item x="91"/>
        <item x="80"/>
        <item x="86"/>
        <item x="83"/>
        <item x="84"/>
        <item x="88"/>
        <item x="89"/>
        <item x="90"/>
        <item x="87"/>
        <item x="92"/>
        <item t="default"/>
      </items>
    </pivotField>
    <pivotField compact="0" showAll="0"/>
    <pivotField compact="0" showAll="0"/>
    <pivotField axis="axisRow" compact="0" showAll="0">
      <items count="7">
        <item x="2"/>
        <item x="1"/>
        <item x="4"/>
        <item x="3"/>
        <item x="0"/>
        <item m="1" x="5"/>
        <item t="default"/>
      </items>
    </pivotField>
    <pivotField compact="0" showAll="0"/>
    <pivotField compact="0" showAll="0">
      <items count="88">
        <item x="4"/>
        <item x="8"/>
        <item x="38"/>
        <item x="32"/>
        <item x="36"/>
        <item x="72"/>
        <item x="3"/>
        <item x="39"/>
        <item x="45"/>
        <item x="28"/>
        <item x="43"/>
        <item x="65"/>
        <item x="41"/>
        <item x="74"/>
        <item x="6"/>
        <item x="42"/>
        <item x="57"/>
        <item x="64"/>
        <item x="30"/>
        <item x="29"/>
        <item x="59"/>
        <item x="18"/>
        <item x="14"/>
        <item x="12"/>
        <item x="15"/>
        <item x="2"/>
        <item x="55"/>
        <item x="23"/>
        <item x="46"/>
        <item x="21"/>
        <item x="62"/>
        <item x="10"/>
        <item x="19"/>
        <item x="0"/>
        <item x="66"/>
        <item x="24"/>
        <item x="60"/>
        <item x="31"/>
        <item x="49"/>
        <item x="63"/>
        <item x="58"/>
        <item x="27"/>
        <item x="52"/>
        <item x="25"/>
        <item x="44"/>
        <item x="1"/>
        <item x="53"/>
        <item x="26"/>
        <item x="34"/>
        <item x="71"/>
        <item x="13"/>
        <item x="16"/>
        <item x="33"/>
        <item x="37"/>
        <item x="56"/>
        <item x="51"/>
        <item x="54"/>
        <item x="7"/>
        <item x="22"/>
        <item x="20"/>
        <item x="17"/>
        <item x="48"/>
        <item x="73"/>
        <item x="67"/>
        <item x="40"/>
        <item x="9"/>
        <item x="70"/>
        <item x="61"/>
        <item x="5"/>
        <item x="47"/>
        <item x="11"/>
        <item x="35"/>
        <item x="50"/>
        <item x="68"/>
        <item x="69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compact="0" showAll="0"/>
    <pivotField axis="axisPage" compact="0" multipleItemSelectionAllowed="1" showAll="0">
      <items count="5">
        <item x="2"/>
        <item x="1"/>
        <item x="0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numFmtId="14" showAll="0"/>
    <pivotField compact="0" numFmtId="14" showAll="0"/>
    <pivotField compact="0" numFmtId="170" showAll="0"/>
    <pivotField compact="0" showAll="0"/>
    <pivotField compact="0" showAll="0"/>
    <pivotField compact="0" showAll="0"/>
    <pivotField compact="0" showAll="0"/>
    <pivotField compact="0" numFmtId="169" showAll="0"/>
    <pivotField compact="0" numFmtId="167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7" showAll="0"/>
    <pivotField compact="0" numFmtId="167" showAll="0"/>
    <pivotField compact="0" numFmtId="167" showAll="0"/>
    <pivotField compact="0" numFmtId="167" showAll="0"/>
    <pivotField dataField="1" compact="0" numFmtId="167" showAll="0">
      <items count="59">
        <item x="51"/>
        <item x="5"/>
        <item x="53"/>
        <item x="47"/>
        <item x="27"/>
        <item x="19"/>
        <item x="25"/>
        <item x="29"/>
        <item x="4"/>
        <item x="32"/>
        <item x="8"/>
        <item x="28"/>
        <item x="17"/>
        <item x="41"/>
        <item x="23"/>
        <item x="39"/>
        <item x="55"/>
        <item x="20"/>
        <item x="33"/>
        <item x="31"/>
        <item x="14"/>
        <item x="49"/>
        <item x="1"/>
        <item x="16"/>
        <item x="45"/>
        <item x="54"/>
        <item x="37"/>
        <item x="56"/>
        <item x="7"/>
        <item x="40"/>
        <item x="42"/>
        <item x="3"/>
        <item x="46"/>
        <item x="18"/>
        <item x="15"/>
        <item x="21"/>
        <item x="48"/>
        <item x="38"/>
        <item x="36"/>
        <item x="13"/>
        <item x="0"/>
        <item x="12"/>
        <item x="30"/>
        <item x="43"/>
        <item x="6"/>
        <item x="44"/>
        <item x="11"/>
        <item x="26"/>
        <item x="10"/>
        <item x="22"/>
        <item x="2"/>
        <item x="34"/>
        <item x="24"/>
        <item x="9"/>
        <item x="35"/>
        <item x="52"/>
        <item x="50"/>
        <item x="57"/>
        <item t="default"/>
      </items>
    </pivotField>
    <pivotField dataField="1" compact="0" numFmtId="167" showAll="0">
      <items count="60">
        <item x="53"/>
        <item x="28"/>
        <item x="5"/>
        <item x="54"/>
        <item x="47"/>
        <item x="27"/>
        <item x="19"/>
        <item x="25"/>
        <item x="29"/>
        <item x="4"/>
        <item x="32"/>
        <item x="39"/>
        <item x="8"/>
        <item x="17"/>
        <item x="41"/>
        <item x="33"/>
        <item x="31"/>
        <item x="23"/>
        <item x="46"/>
        <item x="49"/>
        <item x="1"/>
        <item x="16"/>
        <item x="45"/>
        <item x="55"/>
        <item x="20"/>
        <item x="37"/>
        <item x="7"/>
        <item x="14"/>
        <item x="40"/>
        <item x="42"/>
        <item x="3"/>
        <item x="18"/>
        <item x="52"/>
        <item x="56"/>
        <item x="15"/>
        <item x="21"/>
        <item x="48"/>
        <item x="38"/>
        <item x="13"/>
        <item x="0"/>
        <item x="36"/>
        <item x="30"/>
        <item x="43"/>
        <item x="6"/>
        <item x="12"/>
        <item x="44"/>
        <item x="11"/>
        <item x="26"/>
        <item x="50"/>
        <item x="10"/>
        <item x="22"/>
        <item x="2"/>
        <item x="34"/>
        <item x="24"/>
        <item x="35"/>
        <item x="9"/>
        <item x="51"/>
        <item x="58"/>
        <item x="57"/>
        <item t="default"/>
      </items>
    </pivotField>
    <pivotField dataField="1" compact="0" numFmtId="167" showAll="0">
      <items count="61">
        <item x="54"/>
        <item x="35"/>
        <item x="30"/>
        <item x="28"/>
        <item x="5"/>
        <item x="55"/>
        <item x="50"/>
        <item x="27"/>
        <item x="19"/>
        <item x="25"/>
        <item x="29"/>
        <item x="4"/>
        <item x="33"/>
        <item x="41"/>
        <item x="8"/>
        <item x="17"/>
        <item x="43"/>
        <item x="34"/>
        <item x="32"/>
        <item x="23"/>
        <item x="49"/>
        <item x="51"/>
        <item x="1"/>
        <item x="16"/>
        <item x="47"/>
        <item x="56"/>
        <item x="20"/>
        <item x="39"/>
        <item x="7"/>
        <item x="14"/>
        <item x="42"/>
        <item x="44"/>
        <item x="3"/>
        <item x="18"/>
        <item x="53"/>
        <item x="57"/>
        <item x="15"/>
        <item x="21"/>
        <item x="48"/>
        <item x="40"/>
        <item x="13"/>
        <item x="0"/>
        <item x="38"/>
        <item x="31"/>
        <item x="45"/>
        <item x="6"/>
        <item x="12"/>
        <item x="46"/>
        <item x="11"/>
        <item x="26"/>
        <item x="52"/>
        <item x="10"/>
        <item x="22"/>
        <item x="2"/>
        <item x="36"/>
        <item x="24"/>
        <item x="37"/>
        <item x="9"/>
        <item x="59"/>
        <item x="58"/>
        <item t="default"/>
      </items>
    </pivotField>
    <pivotField dataField="1" compact="0" numFmtId="167" showAll="0">
      <items count="70">
        <item x="63"/>
        <item x="40"/>
        <item x="35"/>
        <item x="33"/>
        <item x="6"/>
        <item x="64"/>
        <item x="58"/>
        <item x="32"/>
        <item x="22"/>
        <item x="30"/>
        <item x="34"/>
        <item x="4"/>
        <item x="38"/>
        <item x="46"/>
        <item x="9"/>
        <item x="19"/>
        <item x="49"/>
        <item x="39"/>
        <item x="37"/>
        <item x="27"/>
        <item x="57"/>
        <item x="60"/>
        <item x="1"/>
        <item x="18"/>
        <item x="55"/>
        <item x="59"/>
        <item x="65"/>
        <item x="23"/>
        <item x="44"/>
        <item x="8"/>
        <item x="15"/>
        <item x="47"/>
        <item x="51"/>
        <item x="3"/>
        <item x="16"/>
        <item x="21"/>
        <item x="5"/>
        <item x="62"/>
        <item x="48"/>
        <item x="66"/>
        <item x="20"/>
        <item x="28"/>
        <item x="17"/>
        <item x="25"/>
        <item x="56"/>
        <item x="45"/>
        <item x="7"/>
        <item x="14"/>
        <item x="31"/>
        <item x="0"/>
        <item x="54"/>
        <item x="43"/>
        <item x="36"/>
        <item x="53"/>
        <item x="52"/>
        <item x="13"/>
        <item x="50"/>
        <item x="12"/>
        <item x="41"/>
        <item x="61"/>
        <item x="11"/>
        <item x="26"/>
        <item x="2"/>
        <item x="29"/>
        <item x="24"/>
        <item x="42"/>
        <item x="10"/>
        <item x="68"/>
        <item x="67"/>
        <item t="default"/>
      </items>
    </pivotField>
    <pivotField compact="0" numFmtId="167" showAll="0"/>
    <pivotField compact="0" numFmtId="167" showAll="0"/>
    <pivotField compact="0" numFmtId="167" showAll="0"/>
    <pivotField compact="0" numFmtId="167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0"/>
  </pageFields>
  <dataFields count="4">
    <dataField name="求和项:Week 7/33" fld="33" baseField="0" baseItem="0"/>
    <dataField name="求和项:Week 7/103" fld="34" baseField="0" baseItem="0"/>
    <dataField name="求和项:Week 7/173" fld="35" baseField="0" baseItem="0"/>
    <dataField name="求和项:Week 7/243" fld="36" baseField="0" baseItem="0"/>
  </dataFields>
  <formats count="20">
    <format dxfId="94">
      <pivotArea dataOnly="0" labelOnly="1" fieldPosition="0">
        <references count="1">
          <reference field="4294967294" count="1">
            <x v="0"/>
          </reference>
        </references>
      </pivotArea>
    </format>
    <format dxfId="95">
      <pivotArea dataOnly="0" labelOnly="1" fieldPosition="0">
        <references count="1">
          <reference field="4294967294" count="1">
            <x v="1"/>
          </reference>
        </references>
      </pivotArea>
    </format>
    <format dxfId="96">
      <pivotArea dataOnly="0" labelOnly="1" fieldPosition="0">
        <references count="1">
          <reference field="4294967294" count="1">
            <x v="2"/>
          </reference>
        </references>
      </pivotArea>
    </format>
    <format dxfId="97">
      <pivotArea dataOnly="0" labelOnly="1" fieldPosition="0">
        <references count="1">
          <reference field="4294967294" count="1">
            <x v="3"/>
          </reference>
        </references>
      </pivotArea>
    </format>
    <format dxfId="98">
      <pivotArea collapsedLevelsAreSubtotals="1" fieldPosition="0"/>
    </format>
    <format dxfId="99">
      <pivotArea dataOnly="0" labelOnly="1" fieldPosition="0">
        <references count="1">
          <reference field="4294967294" count="1">
            <x v="0"/>
          </reference>
        </references>
      </pivotArea>
    </format>
    <format dxfId="100">
      <pivotArea dataOnly="0" labelOnly="1" fieldPosition="0">
        <references count="1">
          <reference field="4294967294" count="1">
            <x v="1"/>
          </reference>
        </references>
      </pivotArea>
    </format>
    <format dxfId="101">
      <pivotArea dataOnly="0" labelOnly="1" fieldPosition="0">
        <references count="1">
          <reference field="4294967294" count="1">
            <x v="2"/>
          </reference>
        </references>
      </pivotArea>
    </format>
    <format dxfId="102">
      <pivotArea dataOnly="0" labelOnly="1" fieldPosition="0">
        <references count="1">
          <reference field="4294967294" count="1">
            <x v="3"/>
          </reference>
        </references>
      </pivotArea>
    </format>
    <format dxfId="103">
      <pivotArea collapsedLevelsAreSubtotals="1" fieldPosition="0"/>
    </format>
    <format dxfId="104">
      <pivotArea dataOnly="0" labelOnly="1" fieldPosition="0">
        <references count="1">
          <reference field="4294967294" count="1">
            <x v="0"/>
          </reference>
        </references>
      </pivotArea>
    </format>
    <format dxfId="105">
      <pivotArea dataOnly="0" labelOnly="1" fieldPosition="0">
        <references count="1">
          <reference field="4294967294" count="1">
            <x v="1"/>
          </reference>
        </references>
      </pivotArea>
    </format>
    <format dxfId="106">
      <pivotArea dataOnly="0" labelOnly="1" fieldPosition="0">
        <references count="1">
          <reference field="4294967294" count="1">
            <x v="2"/>
          </reference>
        </references>
      </pivotArea>
    </format>
    <format dxfId="107">
      <pivotArea dataOnly="0" labelOnly="1" fieldPosition="0">
        <references count="1">
          <reference field="4294967294" count="1">
            <x v="3"/>
          </reference>
        </references>
      </pivotArea>
    </format>
    <format dxfId="108">
      <pivotArea collapsedLevelsAreSubtotals="1" fieldPosition="0"/>
    </format>
    <format dxfId="109">
      <pivotArea dataOnly="0" labelOnly="1" fieldPosition="0">
        <references count="1">
          <reference field="4294967294" count="1">
            <x v="0"/>
          </reference>
        </references>
      </pivotArea>
    </format>
    <format dxfId="110">
      <pivotArea dataOnly="0" labelOnly="1" fieldPosition="0">
        <references count="1">
          <reference field="4294967294" count="1">
            <x v="1"/>
          </reference>
        </references>
      </pivotArea>
    </format>
    <format dxfId="111">
      <pivotArea dataOnly="0" labelOnly="1" fieldPosition="0">
        <references count="1">
          <reference field="4294967294" count="1">
            <x v="2"/>
          </reference>
        </references>
      </pivotArea>
    </format>
    <format dxfId="112">
      <pivotArea dataOnly="0" labelOnly="1" fieldPosition="0">
        <references count="1">
          <reference field="4294967294" count="1">
            <x v="3"/>
          </reference>
        </references>
      </pivotArea>
    </format>
    <format dxfId="113">
      <pivotArea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9" cacheId="172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F6" firstHeaderRow="0" firstDataRow="1" firstDataCol="1" rowPageCount="1" colPageCount="1"/>
  <pivotFields count="60">
    <pivotField compact="0" showAll="0">
      <items count="3">
        <item x="0"/>
        <item x="1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7">
        <item x="0"/>
        <item x="4"/>
        <item x="1"/>
        <item x="2"/>
        <item x="3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compact="0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compact="0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compact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t="default"/>
      </items>
    </pivotField>
    <pivotField compact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1"/>
        <item x="82"/>
        <item x="83"/>
        <item x="77"/>
        <item x="80"/>
        <item t="default"/>
      </items>
    </pivotField>
    <pivotField compact="0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compact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0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5">
        <item x="72"/>
        <item x="65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t="default"/>
      </items>
    </pivotField>
    <pivotField compact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0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5">
        <item x="72"/>
        <item x="65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t="default"/>
      </items>
    </pivotField>
    <pivotField dataField="1"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compact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9"/>
        <item x="60"/>
        <item x="68"/>
        <item t="default"/>
      </items>
    </pivotField>
    <pivotField dataField="1"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compact="0" showAll="0">
      <items count="76">
        <item x="72"/>
        <item x="65"/>
        <item x="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3"/>
        <item t="default"/>
      </items>
    </pivotField>
    <pivotField compact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0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76">
        <item x="72"/>
        <item x="65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4"/>
        <item t="default"/>
      </items>
    </pivotField>
  </pivotFields>
  <rowFields count="1">
    <field x="4"/>
  </rowFields>
  <rowItems count="3">
    <i>
      <x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8" hier="0"/>
  </pageFields>
  <dataFields count="5">
    <dataField name="求和项:Week 7/313" fld="50" baseField="0" baseItem="0"/>
    <dataField name="求和项:Week 8/73" fld="51" baseField="0" baseItem="0"/>
    <dataField name="求和项:Week 8/143" fld="52" baseField="0" baseItem="0"/>
    <dataField name="求和项:Week 8/213" fld="53" baseField="0" baseItem="0"/>
    <dataField name="求和项:Week 8/283" fld="54" baseField="0" baseItem="0"/>
  </dataFields>
  <formats count="18">
    <format dxfId="76">
      <pivotArea dataOnly="0" labelOnly="1" fieldPosition="0">
        <references count="1">
          <reference field="4294967294" count="1">
            <x v="0"/>
          </reference>
        </references>
      </pivotArea>
    </format>
    <format dxfId="77">
      <pivotArea dataOnly="0" labelOnly="1" fieldPosition="0">
        <references count="1">
          <reference field="4294967294" count="1">
            <x v="1"/>
          </reference>
        </references>
      </pivotArea>
    </format>
    <format dxfId="78">
      <pivotArea dataOnly="0" labelOnly="1" fieldPosition="0">
        <references count="1">
          <reference field="4294967294" count="1">
            <x v="2"/>
          </reference>
        </references>
      </pivotArea>
    </format>
    <format dxfId="79">
      <pivotArea dataOnly="0" labelOnly="1" fieldPosition="0">
        <references count="1">
          <reference field="4294967294" count="1">
            <x v="3"/>
          </reference>
        </references>
      </pivotArea>
    </format>
    <format dxfId="80">
      <pivotArea dataOnly="0" labelOnly="1" fieldPosition="0">
        <references count="1">
          <reference field="4294967294" count="1">
            <x v="4"/>
          </reference>
        </references>
      </pivotArea>
    </format>
    <format dxfId="81">
      <pivotArea collapsedLevelsAreSubtotals="1" fieldPosition="0"/>
    </format>
    <format dxfId="82">
      <pivotArea dataOnly="0" labelOnly="1" fieldPosition="0">
        <references count="1">
          <reference field="4294967294" count="1">
            <x v="0"/>
          </reference>
        </references>
      </pivotArea>
    </format>
    <format dxfId="83">
      <pivotArea dataOnly="0" labelOnly="1" fieldPosition="0">
        <references count="1">
          <reference field="4294967294" count="1">
            <x v="1"/>
          </reference>
        </references>
      </pivotArea>
    </format>
    <format dxfId="84">
      <pivotArea dataOnly="0" labelOnly="1" fieldPosition="0">
        <references count="1">
          <reference field="4294967294" count="1">
            <x v="2"/>
          </reference>
        </references>
      </pivotArea>
    </format>
    <format dxfId="85">
      <pivotArea dataOnly="0" labelOnly="1" fieldPosition="0">
        <references count="1">
          <reference field="4294967294" count="1">
            <x v="3"/>
          </reference>
        </references>
      </pivotArea>
    </format>
    <format dxfId="86">
      <pivotArea dataOnly="0" labelOnly="1" fieldPosition="0">
        <references count="1">
          <reference field="4294967294" count="1">
            <x v="4"/>
          </reference>
        </references>
      </pivotArea>
    </format>
    <format dxfId="87">
      <pivotArea collapsedLevelsAreSubtotals="1" fieldPosition="0"/>
    </format>
    <format dxfId="88">
      <pivotArea dataOnly="0" labelOnly="1" fieldPosition="0">
        <references count="1">
          <reference field="4294967294" count="1">
            <x v="0"/>
          </reference>
        </references>
      </pivotArea>
    </format>
    <format dxfId="89">
      <pivotArea dataOnly="0" labelOnly="1" fieldPosition="0">
        <references count="1">
          <reference field="4294967294" count="1">
            <x v="1"/>
          </reference>
        </references>
      </pivotArea>
    </format>
    <format dxfId="90">
      <pivotArea dataOnly="0" labelOnly="1" fieldPosition="0">
        <references count="1">
          <reference field="4294967294" count="1">
            <x v="2"/>
          </reference>
        </references>
      </pivotArea>
    </format>
    <format dxfId="91">
      <pivotArea dataOnly="0" labelOnly="1" fieldPosition="0">
        <references count="1">
          <reference field="4294967294" count="1">
            <x v="3"/>
          </reference>
        </references>
      </pivotArea>
    </format>
    <format dxfId="92">
      <pivotArea dataOnly="0" labelOnly="1" fieldPosition="0">
        <references count="1">
          <reference field="4294967294" count="1">
            <x v="4"/>
          </reference>
        </references>
      </pivotArea>
    </format>
    <format dxfId="93">
      <pivotArea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172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F6" firstHeaderRow="0" firstDataRow="1" firstDataCol="1" rowPageCount="1" colPageCount="1"/>
  <pivotFields count="64">
    <pivotField compact="0" showAll="0"/>
    <pivotField compact="0" showAll="0"/>
    <pivotField compact="0" showAll="0"/>
    <pivotField compact="0" showAll="0">
      <items count="5">
        <item x="0"/>
        <item x="2"/>
        <item x="1"/>
        <item x="3"/>
        <item t="default"/>
      </items>
    </pivotField>
    <pivotField axis="axisRow"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/>
    <pivotField compact="0" showAll="0"/>
    <pivotField compact="0" showAll="0"/>
    <pivotField axis="axisPage" compact="0" multipleItemSelectionAllowed="1" showAll="0">
      <items count="9">
        <item x="6"/>
        <item h="1" x="5"/>
        <item h="1" x="1"/>
        <item h="1" x="0"/>
        <item h="1" x="2"/>
        <item h="1" x="4"/>
        <item h="1" x="3"/>
        <item h="1"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8" hier="0"/>
  </pageFields>
  <dataFields count="5">
    <dataField name="求和项:Week 8/283" fld="54" baseField="0" baseItem="0"/>
    <dataField name="求和项:Week 9/43" fld="55" baseField="0" baseItem="0"/>
    <dataField name="求和项:Week 9/113" fld="56" baseField="0" baseItem="0"/>
    <dataField name="求和项:Week 9/183" fld="57" baseField="0" baseItem="0"/>
    <dataField name="求和项:Week 9/253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2"/>
  <sheetViews>
    <sheetView zoomScale="90" zoomScaleNormal="90" workbookViewId="0">
      <selection activeCell="J3" sqref="J3:K3"/>
    </sheetView>
  </sheetViews>
  <sheetFormatPr defaultColWidth="8.875" defaultRowHeight="16.5"/>
  <cols>
    <col min="1" max="1" width="20.875" style="87" customWidth="1"/>
    <col min="2" max="2" width="19.125" style="87" customWidth="1"/>
    <col min="3" max="3" width="16.125" style="87" customWidth="1"/>
    <col min="4" max="4" width="18.625" style="87" customWidth="1"/>
    <col min="5" max="5" width="17.5" style="87" customWidth="1"/>
    <col min="6" max="6" width="18.5" style="87" customWidth="1"/>
    <col min="7" max="7" width="20" style="87" customWidth="1"/>
    <col min="8" max="8" width="19.625" style="87" customWidth="1"/>
    <col min="9" max="9" width="18.625" style="87" customWidth="1"/>
    <col min="10" max="10" width="19.625" style="87" customWidth="1"/>
    <col min="11" max="11" width="18.625" style="87" customWidth="1"/>
    <col min="12" max="16384" width="8.875" style="88"/>
  </cols>
  <sheetData>
    <row r="3" spans="1:11">
      <c r="A3" s="89" t="s">
        <v>0</v>
      </c>
      <c r="B3" s="105" t="s">
        <v>1</v>
      </c>
      <c r="C3" s="105"/>
      <c r="D3" s="105" t="s">
        <v>2</v>
      </c>
      <c r="E3" s="105"/>
      <c r="F3" s="105" t="s">
        <v>3</v>
      </c>
      <c r="G3" s="105"/>
      <c r="H3" s="105" t="s">
        <v>4</v>
      </c>
      <c r="I3" s="105"/>
      <c r="J3" s="105" t="s">
        <v>5</v>
      </c>
      <c r="K3" s="105"/>
    </row>
    <row r="4" spans="1:11" hidden="1">
      <c r="A4" s="89" t="s">
        <v>6</v>
      </c>
      <c r="B4" s="103">
        <v>5</v>
      </c>
      <c r="C4" s="104"/>
      <c r="D4" s="103">
        <v>5</v>
      </c>
      <c r="E4" s="104"/>
      <c r="F4" s="103">
        <v>5</v>
      </c>
      <c r="G4" s="104"/>
      <c r="H4" s="103">
        <v>5</v>
      </c>
      <c r="I4" s="104"/>
      <c r="J4" s="103">
        <v>5</v>
      </c>
      <c r="K4" s="104"/>
    </row>
    <row r="5" spans="1:11" hidden="1">
      <c r="A5" s="89" t="s">
        <v>7</v>
      </c>
      <c r="B5" s="101">
        <f>B15/B4</f>
        <v>16034.465112698497</v>
      </c>
      <c r="C5" s="102"/>
      <c r="D5" s="101">
        <f>D15/D4</f>
        <v>16666.321010191157</v>
      </c>
      <c r="E5" s="102"/>
      <c r="F5" s="101">
        <f>F15/F4</f>
        <v>17198.383576857814</v>
      </c>
      <c r="G5" s="102"/>
      <c r="H5" s="101">
        <f>H15/H4</f>
        <v>15441.70151026129</v>
      </c>
      <c r="I5" s="102"/>
      <c r="J5" s="101">
        <f>J15/J4</f>
        <v>14731.831276479303</v>
      </c>
      <c r="K5" s="102"/>
    </row>
    <row r="6" spans="1:11">
      <c r="A6" s="89" t="s">
        <v>8</v>
      </c>
      <c r="B6" s="89" t="s">
        <v>9</v>
      </c>
      <c r="C6" s="89" t="s">
        <v>10</v>
      </c>
      <c r="D6" s="89" t="s">
        <v>9</v>
      </c>
      <c r="E6" s="89" t="s">
        <v>10</v>
      </c>
      <c r="F6" s="89" t="s">
        <v>9</v>
      </c>
      <c r="G6" s="89" t="s">
        <v>10</v>
      </c>
      <c r="H6" s="89" t="s">
        <v>9</v>
      </c>
      <c r="I6" s="89" t="s">
        <v>10</v>
      </c>
      <c r="J6" s="89" t="s">
        <v>9</v>
      </c>
      <c r="K6" s="89" t="s">
        <v>10</v>
      </c>
    </row>
    <row r="7" spans="1:11">
      <c r="A7" s="90" t="s">
        <v>11</v>
      </c>
      <c r="B7" s="91">
        <f>E23</f>
        <v>21886.542710239501</v>
      </c>
      <c r="C7" s="91" t="s">
        <v>12</v>
      </c>
      <c r="D7" s="91">
        <f>F23</f>
        <v>20958.816601670202</v>
      </c>
      <c r="E7" s="91" t="s">
        <v>13</v>
      </c>
      <c r="F7" s="91">
        <f>G23</f>
        <v>19917.149935003599</v>
      </c>
      <c r="G7" s="91" t="s">
        <v>14</v>
      </c>
      <c r="H7" s="91">
        <f>H23</f>
        <v>20552.571810003599</v>
      </c>
      <c r="I7" s="91" t="s">
        <v>15</v>
      </c>
      <c r="J7" s="91">
        <f>I23</f>
        <v>20142.156838836901</v>
      </c>
      <c r="K7" s="91" t="s">
        <v>16</v>
      </c>
    </row>
    <row r="8" spans="1:11">
      <c r="A8" s="92" t="s">
        <v>17</v>
      </c>
      <c r="B8" s="91">
        <f>E24</f>
        <v>979.43291666666903</v>
      </c>
      <c r="C8" s="91" t="s">
        <v>12</v>
      </c>
      <c r="D8" s="91">
        <f>F24</f>
        <v>979.43291666667096</v>
      </c>
      <c r="E8" s="91" t="s">
        <v>13</v>
      </c>
      <c r="F8" s="91">
        <f>G24</f>
        <v>979.43291666667096</v>
      </c>
      <c r="G8" s="91" t="s">
        <v>14</v>
      </c>
      <c r="H8" s="91">
        <f>H24</f>
        <v>979.43291666667199</v>
      </c>
      <c r="I8" s="91" t="s">
        <v>15</v>
      </c>
      <c r="J8" s="91">
        <f>I24</f>
        <v>993.42481547619604</v>
      </c>
      <c r="K8" s="91" t="s">
        <v>16</v>
      </c>
    </row>
    <row r="9" spans="1:11">
      <c r="A9" s="92" t="s">
        <v>18</v>
      </c>
      <c r="B9" s="91">
        <f>E25</f>
        <v>4791.0514583333697</v>
      </c>
      <c r="C9" s="91" t="s">
        <v>12</v>
      </c>
      <c r="D9" s="91">
        <f>F25</f>
        <v>4791.0514583333697</v>
      </c>
      <c r="E9" s="91" t="s">
        <v>13</v>
      </c>
      <c r="F9" s="91">
        <f>G25</f>
        <v>4791.0514583333697</v>
      </c>
      <c r="G9" s="91" t="s">
        <v>14</v>
      </c>
      <c r="H9" s="91">
        <f>H25</f>
        <v>4791.0514583333697</v>
      </c>
      <c r="I9" s="91" t="s">
        <v>15</v>
      </c>
      <c r="J9" s="91">
        <f>I25</f>
        <v>4844.6140982143297</v>
      </c>
      <c r="K9" s="91" t="s">
        <v>16</v>
      </c>
    </row>
    <row r="10" spans="1:11">
      <c r="A10" s="92" t="s">
        <v>19</v>
      </c>
      <c r="B10" s="91">
        <f>E26</f>
        <v>2985.19097393624</v>
      </c>
      <c r="C10" s="91" t="s">
        <v>12</v>
      </c>
      <c r="D10" s="91">
        <f>F26</f>
        <v>2985.19097393624</v>
      </c>
      <c r="E10" s="91" t="s">
        <v>13</v>
      </c>
      <c r="F10" s="91">
        <f>G26</f>
        <v>2985.19097393624</v>
      </c>
      <c r="G10" s="91" t="s">
        <v>14</v>
      </c>
      <c r="H10" s="91">
        <f>H26</f>
        <v>2985.19097393624</v>
      </c>
      <c r="I10" s="91" t="s">
        <v>15</v>
      </c>
      <c r="J10" s="91">
        <f>I26</f>
        <v>3007.0032259448499</v>
      </c>
      <c r="K10" s="91" t="s">
        <v>16</v>
      </c>
    </row>
    <row r="11" spans="1:11">
      <c r="A11" s="92" t="s">
        <v>20</v>
      </c>
      <c r="B11" s="91">
        <f>E27</f>
        <v>42530.1075043167</v>
      </c>
      <c r="C11" s="91" t="s">
        <v>21</v>
      </c>
      <c r="D11" s="91">
        <f>F27</f>
        <v>41950.446433682599</v>
      </c>
      <c r="E11" s="91" t="s">
        <v>12</v>
      </c>
      <c r="F11" s="91">
        <f>G27</f>
        <v>42845.868621182497</v>
      </c>
      <c r="G11" s="91" t="s">
        <v>13</v>
      </c>
      <c r="H11" s="91">
        <f>H27</f>
        <v>45620.4791006999</v>
      </c>
      <c r="I11" s="91" t="s">
        <v>14</v>
      </c>
      <c r="J11" s="91">
        <f>I27</f>
        <v>42359.607808090899</v>
      </c>
      <c r="K11" s="91" t="s">
        <v>15</v>
      </c>
    </row>
    <row r="12" spans="1:11">
      <c r="A12" s="92" t="s">
        <v>22</v>
      </c>
      <c r="B12" s="99">
        <f>SUM(B7:B11)</f>
        <v>73172.325563492486</v>
      </c>
      <c r="C12" s="100"/>
      <c r="D12" s="99">
        <f>SUM(D7:D11)</f>
        <v>71664.938384289082</v>
      </c>
      <c r="E12" s="100"/>
      <c r="F12" s="99">
        <f>SUM(F7:F11)</f>
        <v>71518.693905122374</v>
      </c>
      <c r="G12" s="100"/>
      <c r="H12" s="99">
        <f>SUM(H7:H11)</f>
        <v>74928.726259639778</v>
      </c>
      <c r="I12" s="100"/>
      <c r="J12" s="99">
        <f>SUM(J7:J11)</f>
        <v>71346.806786563175</v>
      </c>
      <c r="K12" s="100"/>
    </row>
    <row r="13" spans="1:11">
      <c r="A13" s="92" t="s">
        <v>23</v>
      </c>
      <c r="B13" s="99">
        <v>3</v>
      </c>
      <c r="C13" s="100"/>
      <c r="D13" s="99">
        <v>2</v>
      </c>
      <c r="E13" s="100"/>
      <c r="F13" s="99">
        <v>2</v>
      </c>
      <c r="G13" s="100"/>
      <c r="H13" s="99">
        <v>2</v>
      </c>
      <c r="I13" s="100"/>
      <c r="J13" s="99">
        <v>2</v>
      </c>
      <c r="K13" s="100"/>
    </row>
    <row r="14" spans="1:11">
      <c r="A14" s="92" t="s">
        <v>24</v>
      </c>
      <c r="B14" s="99">
        <f>E28</f>
        <v>7000</v>
      </c>
      <c r="C14" s="100"/>
      <c r="D14" s="99">
        <f>F28</f>
        <v>11666.666666666701</v>
      </c>
      <c r="E14" s="100"/>
      <c r="F14" s="99">
        <f>G28</f>
        <v>14473.2239791667</v>
      </c>
      <c r="G14" s="100"/>
      <c r="H14" s="99">
        <f>H28</f>
        <v>2279.7812916666699</v>
      </c>
      <c r="I14" s="100"/>
      <c r="J14" s="99">
        <f>I28</f>
        <v>2312.3495958333301</v>
      </c>
      <c r="K14" s="100"/>
    </row>
    <row r="15" spans="1:11">
      <c r="A15" s="90" t="s">
        <v>25</v>
      </c>
      <c r="B15" s="99">
        <f>B14+B12</f>
        <v>80172.325563492486</v>
      </c>
      <c r="C15" s="100"/>
      <c r="D15" s="99">
        <f>D14+D12</f>
        <v>83331.605050955783</v>
      </c>
      <c r="E15" s="100"/>
      <c r="F15" s="99">
        <f>F14+F12</f>
        <v>85991.917884289069</v>
      </c>
      <c r="G15" s="100"/>
      <c r="H15" s="99">
        <f>H14+H12</f>
        <v>77208.507551306451</v>
      </c>
      <c r="I15" s="100"/>
      <c r="J15" s="99">
        <f>J14+J12</f>
        <v>73659.156382396512</v>
      </c>
      <c r="K15" s="100"/>
    </row>
    <row r="17" spans="2:11" hidden="1">
      <c r="H17" s="93">
        <f>80000*7*8</f>
        <v>4480000</v>
      </c>
      <c r="I17" s="93"/>
      <c r="J17" s="93">
        <f>80000*7*8</f>
        <v>4480000</v>
      </c>
      <c r="K17" s="93"/>
    </row>
    <row r="18" spans="2:11" hidden="1">
      <c r="B18" s="87">
        <f>B15/40000</f>
        <v>2.0043081390873123</v>
      </c>
      <c r="D18" s="87">
        <f>D15/40000</f>
        <v>2.0832901262738948</v>
      </c>
      <c r="F18" s="87">
        <f>F15/40000</f>
        <v>2.1497979471072268</v>
      </c>
      <c r="H18" s="93">
        <f>H17*7</f>
        <v>31360000</v>
      </c>
      <c r="I18" s="93">
        <f>D15+F15+H15</f>
        <v>246532.03048655129</v>
      </c>
      <c r="J18" s="93">
        <f>J17*7</f>
        <v>31360000</v>
      </c>
      <c r="K18" s="93">
        <f>F15+H15+J15</f>
        <v>236859.58181799203</v>
      </c>
    </row>
    <row r="19" spans="2:11" hidden="1">
      <c r="I19" s="87">
        <v>201525</v>
      </c>
      <c r="K19" s="87">
        <v>201525</v>
      </c>
    </row>
    <row r="20" spans="2:11" hidden="1">
      <c r="I20" s="87">
        <f>I19-I18</f>
        <v>-45007.030486551288</v>
      </c>
      <c r="K20" s="87">
        <f>K19-K18</f>
        <v>-35334.581817992032</v>
      </c>
    </row>
    <row r="21" spans="2:11" hidden="1"/>
    <row r="22" spans="2:11" hidden="1"/>
    <row r="23" spans="2:11" hidden="1">
      <c r="C23" s="93"/>
      <c r="E23" s="93">
        <v>21886.542710239501</v>
      </c>
      <c r="F23" s="93">
        <v>20958.816601670202</v>
      </c>
      <c r="G23" s="93">
        <v>19917.149935003599</v>
      </c>
      <c r="H23" s="93">
        <v>20552.571810003599</v>
      </c>
      <c r="I23" s="93">
        <v>20142.156838836901</v>
      </c>
      <c r="J23" s="93"/>
      <c r="K23" s="88"/>
    </row>
    <row r="24" spans="2:11" hidden="1">
      <c r="C24" s="93"/>
      <c r="E24" s="93">
        <v>979.43291666666903</v>
      </c>
      <c r="F24" s="93">
        <v>979.43291666667096</v>
      </c>
      <c r="G24" s="93">
        <v>979.43291666667096</v>
      </c>
      <c r="H24" s="93">
        <v>979.43291666667199</v>
      </c>
      <c r="I24" s="93">
        <v>993.42481547619604</v>
      </c>
      <c r="J24" s="93"/>
      <c r="K24" s="88"/>
    </row>
    <row r="25" spans="2:11" hidden="1">
      <c r="C25" s="93"/>
      <c r="E25" s="93">
        <v>4791.0514583333697</v>
      </c>
      <c r="F25" s="93">
        <v>4791.0514583333697</v>
      </c>
      <c r="G25" s="93">
        <v>4791.0514583333697</v>
      </c>
      <c r="H25" s="93">
        <v>4791.0514583333697</v>
      </c>
      <c r="I25" s="93">
        <v>4844.6140982143297</v>
      </c>
      <c r="J25" s="93"/>
      <c r="K25" s="88"/>
    </row>
    <row r="26" spans="2:11" hidden="1">
      <c r="C26" s="94"/>
      <c r="E26" s="94">
        <v>2985.19097393624</v>
      </c>
      <c r="F26" s="94">
        <v>2985.19097393624</v>
      </c>
      <c r="G26" s="94">
        <v>2985.19097393624</v>
      </c>
      <c r="H26" s="94">
        <v>2985.19097393624</v>
      </c>
      <c r="I26" s="94">
        <v>3007.0032259448499</v>
      </c>
      <c r="J26" s="94"/>
      <c r="K26" s="88"/>
    </row>
    <row r="27" spans="2:11" hidden="1">
      <c r="C27" s="93"/>
      <c r="E27" s="93">
        <v>42530.1075043167</v>
      </c>
      <c r="F27" s="93">
        <v>41950.446433682599</v>
      </c>
      <c r="G27" s="93">
        <v>42845.868621182497</v>
      </c>
      <c r="H27" s="93">
        <v>45620.4791006999</v>
      </c>
      <c r="I27" s="93">
        <v>42359.607808090899</v>
      </c>
      <c r="J27" s="93"/>
      <c r="K27" s="88"/>
    </row>
    <row r="28" spans="2:11" hidden="1">
      <c r="E28" s="93">
        <v>7000</v>
      </c>
      <c r="F28" s="93">
        <v>11666.666666666701</v>
      </c>
      <c r="G28" s="93">
        <v>14473.2239791667</v>
      </c>
      <c r="H28" s="93">
        <v>2279.7812916666699</v>
      </c>
      <c r="I28" s="93">
        <v>2312.3495958333301</v>
      </c>
      <c r="K28" s="88"/>
    </row>
    <row r="29" spans="2:11" hidden="1"/>
    <row r="30" spans="2:11" hidden="1">
      <c r="B30" s="87">
        <f>B12*6*8</f>
        <v>3512271.6270476393</v>
      </c>
      <c r="C30" s="87">
        <f t="shared" ref="C30:K30" si="0">C12*6*8</f>
        <v>0</v>
      </c>
      <c r="D30" s="87">
        <f t="shared" si="0"/>
        <v>3439917.0424458757</v>
      </c>
      <c r="E30" s="87">
        <f t="shared" si="0"/>
        <v>0</v>
      </c>
      <c r="F30" s="87">
        <f t="shared" si="0"/>
        <v>3432897.307445874</v>
      </c>
      <c r="G30" s="87">
        <f t="shared" si="0"/>
        <v>0</v>
      </c>
      <c r="H30" s="87">
        <f t="shared" si="0"/>
        <v>3596578.8604627093</v>
      </c>
      <c r="I30" s="87">
        <f t="shared" si="0"/>
        <v>0</v>
      </c>
      <c r="J30" s="87">
        <f t="shared" si="0"/>
        <v>3424646.7257550322</v>
      </c>
      <c r="K30" s="87">
        <f t="shared" si="0"/>
        <v>0</v>
      </c>
    </row>
    <row r="31" spans="2:11" hidden="1"/>
    <row r="32" spans="2:11" hidden="1">
      <c r="B32" s="87">
        <f>SUM(B30:J30)*7</f>
        <v>121844180.94209991</v>
      </c>
    </row>
  </sheetData>
  <mergeCells count="35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</mergeCells>
  <phoneticPr fontId="12" type="noConversion"/>
  <pageMargins left="0.75" right="0.75" top="1" bottom="1" header="0.5" footer="0.5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4" sqref="B4:E8"/>
    </sheetView>
  </sheetViews>
  <sheetFormatPr defaultColWidth="8.875" defaultRowHeight="14.25"/>
  <cols>
    <col min="1" max="1" width="10.125"/>
    <col min="2" max="5" width="19.125" style="42"/>
  </cols>
  <sheetData>
    <row r="1" spans="1:5">
      <c r="A1" t="s">
        <v>26</v>
      </c>
      <c r="B1" t="s">
        <v>27</v>
      </c>
    </row>
    <row r="3" spans="1:5">
      <c r="A3" t="s">
        <v>8</v>
      </c>
      <c r="B3" s="42" t="s">
        <v>28</v>
      </c>
      <c r="C3" s="42" t="s">
        <v>29</v>
      </c>
      <c r="D3" s="42" t="s">
        <v>30</v>
      </c>
      <c r="E3" s="42" t="s">
        <v>31</v>
      </c>
    </row>
    <row r="4" spans="1:5">
      <c r="A4" t="s">
        <v>11</v>
      </c>
      <c r="B4" s="42">
        <v>19236.116758656899</v>
      </c>
      <c r="C4" s="42">
        <v>17734.540546035001</v>
      </c>
      <c r="D4" s="42">
        <v>17532.164904195499</v>
      </c>
      <c r="E4" s="42">
        <v>17085.033551277</v>
      </c>
    </row>
    <row r="5" spans="1:5">
      <c r="A5" t="s">
        <v>17</v>
      </c>
      <c r="B5" s="42">
        <v>1041.5287043951701</v>
      </c>
      <c r="C5" s="42">
        <v>951.43786360887896</v>
      </c>
      <c r="D5" s="42">
        <v>951.43786360887896</v>
      </c>
      <c r="E5" s="42">
        <v>951.43786360887896</v>
      </c>
    </row>
    <row r="6" spans="1:5">
      <c r="A6" t="s">
        <v>18</v>
      </c>
      <c r="B6" s="42">
        <v>6935.5793685570397</v>
      </c>
      <c r="C6" s="42">
        <v>5784.0715073732799</v>
      </c>
      <c r="D6" s="42">
        <v>5605.5000788018497</v>
      </c>
      <c r="E6" s="42">
        <v>5074.3874786818396</v>
      </c>
    </row>
    <row r="7" spans="1:5">
      <c r="A7" t="s">
        <v>19</v>
      </c>
      <c r="B7" s="42">
        <v>2689.1215483275901</v>
      </c>
      <c r="C7" s="42">
        <v>2456.97869118474</v>
      </c>
      <c r="D7" s="42">
        <v>2456.97869118474</v>
      </c>
      <c r="E7" s="42">
        <v>2260.8623554368801</v>
      </c>
    </row>
    <row r="8" spans="1:5">
      <c r="A8" t="s">
        <v>20</v>
      </c>
      <c r="B8" s="42">
        <v>44558.334934793202</v>
      </c>
      <c r="C8" s="42">
        <v>38853.700877130999</v>
      </c>
      <c r="D8" s="42">
        <v>38853.700877130999</v>
      </c>
      <c r="E8" s="42">
        <v>35948.524608826599</v>
      </c>
    </row>
    <row r="9" spans="1:5">
      <c r="A9" t="s">
        <v>32</v>
      </c>
      <c r="B9" s="42">
        <v>74460.681314729998</v>
      </c>
      <c r="C9" s="42">
        <v>65780.729485332893</v>
      </c>
      <c r="D9" s="42">
        <v>65399.782414922003</v>
      </c>
      <c r="E9" s="42">
        <v>61320.2458578312</v>
      </c>
    </row>
    <row r="10" spans="1:5">
      <c r="B10"/>
      <c r="C10"/>
      <c r="D10"/>
      <c r="E10"/>
    </row>
  </sheetData>
  <phoneticPr fontId="12" type="noConversion"/>
  <pageMargins left="0.75" right="0.75" top="1" bottom="1" header="0.5" footer="0.5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6" sqref="B6:F6"/>
    </sheetView>
  </sheetViews>
  <sheetFormatPr defaultColWidth="8.875" defaultRowHeight="14.25"/>
  <cols>
    <col min="1" max="1" width="10.125"/>
    <col min="2" max="6" width="19.125"/>
  </cols>
  <sheetData>
    <row r="1" spans="1:6">
      <c r="A1" t="s">
        <v>26</v>
      </c>
      <c r="B1" t="s">
        <v>33</v>
      </c>
    </row>
    <row r="3" spans="1:6">
      <c r="A3" t="s">
        <v>8</v>
      </c>
      <c r="B3" s="42" t="s">
        <v>34</v>
      </c>
      <c r="C3" s="42" t="s">
        <v>35</v>
      </c>
      <c r="D3" s="42" t="s">
        <v>36</v>
      </c>
      <c r="E3" s="42" t="s">
        <v>37</v>
      </c>
      <c r="F3" s="42" t="s">
        <v>38</v>
      </c>
    </row>
    <row r="4" spans="1:6">
      <c r="A4" t="s">
        <v>11</v>
      </c>
      <c r="B4" s="42">
        <v>0</v>
      </c>
      <c r="C4" s="42">
        <v>6250</v>
      </c>
      <c r="D4" s="42">
        <v>12989.854166666701</v>
      </c>
      <c r="E4" s="42">
        <v>13806.520833333299</v>
      </c>
      <c r="F4" s="42">
        <v>2123.1875</v>
      </c>
    </row>
    <row r="5" spans="1:6">
      <c r="A5" t="s">
        <v>20</v>
      </c>
      <c r="B5" s="42">
        <v>18750</v>
      </c>
      <c r="C5" s="42">
        <v>7393.4791666666697</v>
      </c>
      <c r="D5" s="42">
        <v>1633.3333333333301</v>
      </c>
      <c r="E5" s="42">
        <v>1633.3333333333301</v>
      </c>
      <c r="F5" s="42">
        <v>1633.3333333333301</v>
      </c>
    </row>
    <row r="6" spans="1:6">
      <c r="A6" t="s">
        <v>32</v>
      </c>
      <c r="B6" s="42">
        <v>18750</v>
      </c>
      <c r="C6" s="42">
        <v>13643.479166666701</v>
      </c>
      <c r="D6" s="42">
        <v>14623.1875</v>
      </c>
      <c r="E6" s="42">
        <v>15439.854166666701</v>
      </c>
      <c r="F6" s="42">
        <v>3756.5208333333399</v>
      </c>
    </row>
  </sheetData>
  <phoneticPr fontId="12" type="noConversion"/>
  <pageMargins left="0.75" right="0.75" top="1" bottom="1" header="0.5" footer="0.5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:F6"/>
    </sheetView>
  </sheetViews>
  <sheetFormatPr defaultColWidth="8.875" defaultRowHeight="14.25"/>
  <cols>
    <col min="1" max="1" width="10.25"/>
    <col min="2" max="6" width="19.125"/>
  </cols>
  <sheetData>
    <row r="1" spans="1:6">
      <c r="A1" t="s">
        <v>26</v>
      </c>
      <c r="B1" t="s">
        <v>39</v>
      </c>
    </row>
    <row r="3" spans="1:6">
      <c r="A3" t="s">
        <v>8</v>
      </c>
      <c r="B3" t="s">
        <v>38</v>
      </c>
      <c r="C3" t="s">
        <v>40</v>
      </c>
      <c r="D3" t="s">
        <v>41</v>
      </c>
      <c r="E3" t="s">
        <v>42</v>
      </c>
      <c r="F3" t="s">
        <v>43</v>
      </c>
    </row>
    <row r="4" spans="1:6">
      <c r="A4" t="s">
        <v>11</v>
      </c>
      <c r="B4">
        <v>0</v>
      </c>
      <c r="C4">
        <v>11666.666666666701</v>
      </c>
      <c r="D4">
        <v>7806.5573125000001</v>
      </c>
      <c r="E4">
        <v>1709.8359687499999</v>
      </c>
      <c r="F4">
        <v>1734.262196875</v>
      </c>
    </row>
    <row r="5" spans="1:6">
      <c r="A5" t="s">
        <v>20</v>
      </c>
      <c r="B5">
        <v>0</v>
      </c>
      <c r="C5">
        <v>0</v>
      </c>
      <c r="D5">
        <v>6666.6666666666697</v>
      </c>
      <c r="E5">
        <v>569.94532291666701</v>
      </c>
      <c r="F5">
        <v>578.08739895833298</v>
      </c>
    </row>
    <row r="6" spans="1:6">
      <c r="A6" t="s">
        <v>32</v>
      </c>
      <c r="B6">
        <v>0</v>
      </c>
      <c r="C6">
        <v>11666.666666666701</v>
      </c>
      <c r="D6">
        <v>14473.2239791667</v>
      </c>
      <c r="E6">
        <v>2279.7812916666699</v>
      </c>
      <c r="F6">
        <v>2312.3495958333301</v>
      </c>
    </row>
  </sheetData>
  <phoneticPr fontId="12" type="noConversion"/>
  <pageMargins left="0.75" right="0.75" top="1" bottom="1" header="0.5" footer="0.5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00"/>
  <sheetViews>
    <sheetView tabSelected="1" topLeftCell="B1" zoomScale="90" zoomScaleNormal="90" workbookViewId="0">
      <pane xSplit="1" topLeftCell="AP1" activePane="topRight" state="frozen"/>
      <selection pane="topRight" activeCell="AT89" sqref="AT89"/>
      <selection activeCell="B1" sqref="B1"/>
    </sheetView>
  </sheetViews>
  <sheetFormatPr defaultColWidth="9" defaultRowHeight="14.25"/>
  <cols>
    <col min="1" max="1" width="11.875" hidden="1" customWidth="1"/>
    <col min="2" max="2" width="10.25" customWidth="1"/>
    <col min="3" max="3" width="22.125" customWidth="1"/>
    <col min="4" max="4" width="9.125" customWidth="1"/>
    <col min="5" max="8" width="9" customWidth="1"/>
    <col min="9" max="9" width="11.875" customWidth="1"/>
    <col min="10" max="10" width="18.625" customWidth="1"/>
    <col min="11" max="11" width="15.5" customWidth="1"/>
    <col min="12" max="12" width="13.375" customWidth="1"/>
    <col min="13" max="15" width="18.875" customWidth="1"/>
    <col min="16" max="16" width="15.25" customWidth="1"/>
    <col min="17" max="17" width="14.875" customWidth="1"/>
    <col min="18" max="18" width="14" customWidth="1"/>
    <col min="19" max="19" width="18.625" customWidth="1"/>
    <col min="20" max="20" width="11.875" customWidth="1"/>
    <col min="21" max="21" width="12.375" customWidth="1"/>
    <col min="22" max="22" width="11.875" customWidth="1"/>
    <col min="23" max="23" width="11.375" customWidth="1"/>
    <col min="24" max="26" width="20.125" customWidth="1"/>
    <col min="27" max="27" width="17.125" customWidth="1"/>
    <col min="28" max="28" width="18" customWidth="1"/>
    <col min="29" max="30" width="17.875" customWidth="1"/>
    <col min="31" max="31" width="16.375" customWidth="1"/>
    <col min="32" max="32" width="16.375" style="43" customWidth="1"/>
    <col min="33" max="33" width="17.125" customWidth="1"/>
    <col min="34" max="35" width="18.125" customWidth="1"/>
    <col min="36" max="40" width="18.875" customWidth="1"/>
    <col min="41" max="44" width="18.5" customWidth="1"/>
    <col min="45" max="45" width="15.75" customWidth="1"/>
    <col min="46" max="46" width="19.125" customWidth="1"/>
    <col min="47" max="47" width="18.625" customWidth="1"/>
    <col min="48" max="48" width="15.375" customWidth="1"/>
    <col min="49" max="49" width="18" customWidth="1"/>
    <col min="50" max="50" width="16.25" customWidth="1"/>
    <col min="51" max="55" width="8.375" customWidth="1"/>
    <col min="56" max="56" width="10.5" customWidth="1"/>
    <col min="57" max="59" width="7.125" style="44" customWidth="1"/>
    <col min="60" max="60" width="8.375" style="44" customWidth="1"/>
    <col min="61" max="61" width="7.125" style="44" customWidth="1"/>
    <col min="62" max="65" width="7.125" customWidth="1"/>
    <col min="66" max="66" width="9" customWidth="1"/>
    <col min="67" max="67" width="12" customWidth="1"/>
    <col min="74" max="74" width="12.5" customWidth="1"/>
  </cols>
  <sheetData>
    <row r="1" spans="1:73" ht="24" customHeight="1">
      <c r="A1" s="108" t="s">
        <v>44</v>
      </c>
      <c r="B1" s="108"/>
      <c r="C1" s="108"/>
      <c r="D1" s="108"/>
      <c r="E1" s="108"/>
      <c r="F1" s="108"/>
      <c r="G1" s="108"/>
      <c r="H1" s="108"/>
      <c r="I1" s="46"/>
      <c r="J1" s="109" t="s">
        <v>45</v>
      </c>
      <c r="K1" s="110"/>
      <c r="L1" s="110"/>
      <c r="M1" s="67"/>
      <c r="N1" s="67"/>
      <c r="O1" s="67"/>
      <c r="P1" s="111" t="s">
        <v>46</v>
      </c>
      <c r="Q1" s="111"/>
      <c r="R1" s="111"/>
      <c r="S1" s="112" t="s">
        <v>47</v>
      </c>
      <c r="T1" s="113"/>
      <c r="U1" s="113"/>
      <c r="V1" s="113"/>
      <c r="W1" s="113"/>
      <c r="X1" s="113"/>
      <c r="Y1" s="113"/>
      <c r="Z1" s="113"/>
      <c r="AA1" s="113"/>
      <c r="AB1" s="114"/>
      <c r="AC1" s="114"/>
      <c r="AD1" s="114"/>
      <c r="AE1" s="114"/>
      <c r="AF1" s="115"/>
      <c r="AG1" s="114"/>
      <c r="AH1" s="114"/>
      <c r="AI1" s="114"/>
      <c r="AJ1" s="114"/>
      <c r="AK1" s="114"/>
      <c r="AL1" s="114"/>
      <c r="AM1" s="114"/>
      <c r="AN1" s="106" t="s">
        <v>48</v>
      </c>
      <c r="AO1" s="106"/>
      <c r="AP1" s="106"/>
      <c r="AQ1" s="106"/>
      <c r="AR1" s="106"/>
      <c r="AS1" s="106"/>
      <c r="AT1" s="107" t="s">
        <v>49</v>
      </c>
      <c r="AU1" s="107"/>
      <c r="AV1" s="107"/>
      <c r="AW1" s="107"/>
      <c r="AX1" s="78"/>
      <c r="AY1" s="107" t="s">
        <v>50</v>
      </c>
      <c r="AZ1" s="107"/>
      <c r="BA1" s="107"/>
      <c r="BB1" s="107"/>
      <c r="BC1" s="107"/>
      <c r="BD1" s="78"/>
      <c r="BE1" s="107" t="s">
        <v>51</v>
      </c>
      <c r="BF1" s="107"/>
      <c r="BG1" s="107"/>
      <c r="BH1" s="107"/>
      <c r="BI1" s="78"/>
      <c r="BJ1" s="107" t="s">
        <v>52</v>
      </c>
      <c r="BK1" s="107"/>
      <c r="BL1" s="107"/>
      <c r="BM1" s="107"/>
      <c r="BN1" s="84"/>
    </row>
    <row r="2" spans="1:73" ht="57" customHeight="1">
      <c r="A2" s="47" t="s">
        <v>53</v>
      </c>
      <c r="B2" s="48" t="s">
        <v>54</v>
      </c>
      <c r="C2" s="48" t="s">
        <v>55</v>
      </c>
      <c r="D2" s="48" t="s">
        <v>56</v>
      </c>
      <c r="E2" s="48" t="s">
        <v>8</v>
      </c>
      <c r="F2" s="48" t="s">
        <v>57</v>
      </c>
      <c r="G2" s="49" t="s">
        <v>58</v>
      </c>
      <c r="H2" s="49" t="s">
        <v>59</v>
      </c>
      <c r="I2" s="49" t="s">
        <v>26</v>
      </c>
      <c r="J2" s="68" t="s">
        <v>60</v>
      </c>
      <c r="K2" s="68" t="s">
        <v>61</v>
      </c>
      <c r="L2" s="68" t="s">
        <v>62</v>
      </c>
      <c r="M2" s="68" t="s">
        <v>63</v>
      </c>
      <c r="N2" s="68" t="s">
        <v>64</v>
      </c>
      <c r="O2" s="68" t="s">
        <v>65</v>
      </c>
      <c r="P2" s="69" t="s">
        <v>66</v>
      </c>
      <c r="Q2" s="69" t="s">
        <v>67</v>
      </c>
      <c r="R2" s="69" t="s">
        <v>68</v>
      </c>
      <c r="S2" s="72" t="s">
        <v>69</v>
      </c>
      <c r="T2" s="72" t="s">
        <v>70</v>
      </c>
      <c r="U2" s="72" t="s">
        <v>71</v>
      </c>
      <c r="V2" s="72" t="s">
        <v>72</v>
      </c>
      <c r="W2" s="72" t="s">
        <v>73</v>
      </c>
      <c r="X2" s="72" t="s">
        <v>74</v>
      </c>
      <c r="Y2" s="72" t="s">
        <v>75</v>
      </c>
      <c r="Z2" s="72" t="s">
        <v>76</v>
      </c>
      <c r="AA2" s="72" t="s">
        <v>77</v>
      </c>
      <c r="AB2" s="56" t="s">
        <v>78</v>
      </c>
      <c r="AC2" s="56" t="s">
        <v>79</v>
      </c>
      <c r="AD2" s="56" t="s">
        <v>80</v>
      </c>
      <c r="AE2" s="56" t="s">
        <v>81</v>
      </c>
      <c r="AF2" s="74" t="s">
        <v>82</v>
      </c>
      <c r="AG2" s="56" t="s">
        <v>83</v>
      </c>
      <c r="AH2" s="56" t="s">
        <v>84</v>
      </c>
      <c r="AI2" s="56" t="s">
        <v>85</v>
      </c>
      <c r="AJ2" s="56" t="s">
        <v>86</v>
      </c>
      <c r="AK2" s="56" t="s">
        <v>87</v>
      </c>
      <c r="AL2" s="56" t="s">
        <v>88</v>
      </c>
      <c r="AM2" s="56" t="s">
        <v>89</v>
      </c>
      <c r="AN2" s="68" t="s">
        <v>90</v>
      </c>
      <c r="AO2" s="68" t="s">
        <v>91</v>
      </c>
      <c r="AP2" s="68" t="s">
        <v>92</v>
      </c>
      <c r="AQ2" s="68" t="s">
        <v>93</v>
      </c>
      <c r="AR2" s="68" t="s">
        <v>94</v>
      </c>
      <c r="AS2" s="79" t="s">
        <v>95</v>
      </c>
      <c r="AT2" s="80" t="s">
        <v>96</v>
      </c>
      <c r="AU2" s="80" t="s">
        <v>21</v>
      </c>
      <c r="AV2" s="80" t="s">
        <v>12</v>
      </c>
      <c r="AW2" s="80" t="s">
        <v>13</v>
      </c>
      <c r="AX2" s="80" t="s">
        <v>14</v>
      </c>
      <c r="AY2" s="81" t="s">
        <v>96</v>
      </c>
      <c r="AZ2" s="81" t="s">
        <v>97</v>
      </c>
      <c r="BA2" s="81" t="s">
        <v>21</v>
      </c>
      <c r="BB2" s="81" t="s">
        <v>12</v>
      </c>
      <c r="BC2" s="81" t="s">
        <v>13</v>
      </c>
      <c r="BD2" s="81" t="s">
        <v>14</v>
      </c>
      <c r="BE2" s="49" t="s">
        <v>96</v>
      </c>
      <c r="BF2" s="49" t="s">
        <v>21</v>
      </c>
      <c r="BG2" s="49" t="s">
        <v>12</v>
      </c>
      <c r="BH2" s="49" t="s">
        <v>13</v>
      </c>
      <c r="BI2" s="49" t="s">
        <v>14</v>
      </c>
      <c r="BJ2" s="85" t="s">
        <v>96</v>
      </c>
      <c r="BK2" s="85" t="s">
        <v>21</v>
      </c>
      <c r="BL2" s="85" t="s">
        <v>12</v>
      </c>
      <c r="BM2" s="85" t="s">
        <v>13</v>
      </c>
      <c r="BN2" s="85" t="s">
        <v>14</v>
      </c>
      <c r="BO2" s="96" t="s">
        <v>98</v>
      </c>
      <c r="BP2" s="97" t="s">
        <v>99</v>
      </c>
      <c r="BQ2" s="97" t="s">
        <v>100</v>
      </c>
      <c r="BR2" s="97" t="s">
        <v>101</v>
      </c>
      <c r="BS2" s="97" t="s">
        <v>102</v>
      </c>
      <c r="BT2" s="97" t="s">
        <v>103</v>
      </c>
      <c r="BU2" s="97" t="s">
        <v>104</v>
      </c>
    </row>
    <row r="3" spans="1:73" ht="16.5" hidden="1">
      <c r="A3" s="51" t="s">
        <v>105</v>
      </c>
      <c r="B3" s="51" t="s">
        <v>106</v>
      </c>
      <c r="C3" s="52" t="s">
        <v>107</v>
      </c>
      <c r="D3" s="51" t="s">
        <v>20</v>
      </c>
      <c r="E3" s="59" t="s">
        <v>20</v>
      </c>
      <c r="F3" s="59" t="s">
        <v>108</v>
      </c>
      <c r="G3" s="63">
        <v>325.16000000000003</v>
      </c>
      <c r="H3" s="61" t="s">
        <v>109</v>
      </c>
      <c r="I3" s="61" t="s">
        <v>110</v>
      </c>
      <c r="J3" s="70">
        <v>202124.52</v>
      </c>
      <c r="K3" s="70">
        <f t="shared" ref="K3:K27" si="0">J3+14*AB3</f>
        <v>256213.39999999973</v>
      </c>
      <c r="L3" s="71">
        <f t="shared" ref="L3:L34" si="1">J3/AB3</f>
        <v>52.316544176917944</v>
      </c>
      <c r="M3" s="71">
        <v>900</v>
      </c>
      <c r="N3" s="71">
        <v>450</v>
      </c>
      <c r="O3" s="71">
        <v>2112</v>
      </c>
      <c r="P3" s="51">
        <f t="shared" ref="P3:P34" si="2">R3-Q3</f>
        <v>20</v>
      </c>
      <c r="Q3" s="73">
        <v>45191</v>
      </c>
      <c r="R3" s="73">
        <v>45211</v>
      </c>
      <c r="S3" s="70">
        <f>VLOOKUP($B3,[1]Sheet7!$H$2:$M$93,5,0)</f>
        <v>295802.18000000052</v>
      </c>
      <c r="T3" s="71">
        <f t="shared" ref="T3:T34" si="3">S3/AG3</f>
        <v>96.698980058842935</v>
      </c>
      <c r="U3" s="70">
        <f>VLOOKUP($B3,[1]Sheet7!$H$2:$M$93,4,0)</f>
        <v>223632.67000000019</v>
      </c>
      <c r="V3" s="70">
        <f>VLOOKUP($B3,[1]Sheet7!$H$2:$M$93,2,0)</f>
        <v>73033.259999999893</v>
      </c>
      <c r="W3" s="70">
        <f>VLOOKUP($B3,[1]Sheet7!$H$2:$M$93,3,0)</f>
        <v>0</v>
      </c>
      <c r="X3" s="71">
        <f>VLOOKUP($B3,[1]Sheet8!$D$2:$E$93,2,0)</f>
        <v>1587</v>
      </c>
      <c r="Y3" s="71">
        <f>VLOOKUP($B3,[1]Sheet8!$P$3:$Q$94,2,0)</f>
        <v>3221</v>
      </c>
      <c r="Z3" s="71">
        <f>VLOOKUP($B3,[1]Sheet8!$J$3:$K$94,2,0)</f>
        <v>361</v>
      </c>
      <c r="AA3" s="71">
        <f>VLOOKUP($B3,[1]Sheet7!$H$2:$M$93,6,0)</f>
        <v>37521</v>
      </c>
      <c r="AB3" s="57">
        <v>3863.4914285714099</v>
      </c>
      <c r="AC3" s="57">
        <v>3863.4914285714099</v>
      </c>
      <c r="AD3" s="75">
        <v>0</v>
      </c>
      <c r="AE3" s="57">
        <f t="shared" ref="AE3:AE34" si="4">AC3*1.1</f>
        <v>4249.8405714285509</v>
      </c>
      <c r="AF3" s="75">
        <v>1.1000000000000001</v>
      </c>
      <c r="AG3" s="77">
        <f>VLOOKUP($B3,[2]Sheet1!$E$2:$I$96,4,0)</f>
        <v>3059</v>
      </c>
      <c r="AH3" s="77">
        <f>VLOOKUP($B3,[2]Sheet1!$E$2:$I$96,5,0)</f>
        <v>433</v>
      </c>
      <c r="AI3" s="77">
        <f t="shared" ref="AI3:AI34" si="5">AG3*7</f>
        <v>21413</v>
      </c>
      <c r="AJ3" s="61">
        <f t="shared" ref="AJ3:AJ34" si="6">AH3*7</f>
        <v>3031</v>
      </c>
      <c r="AK3" s="61">
        <f>VLOOKUP(B3,[2]Sheet9!$D$2:$F$94,3,0)</f>
        <v>172</v>
      </c>
      <c r="AL3" s="61">
        <f>VLOOKUP(B3,[2]Sheet9!$J$3:$L$95,3,0)</f>
        <v>38</v>
      </c>
      <c r="AM3" s="61">
        <f>VLOOKUP(B3,[2]Sheet9!$P$3:$R$95,3,0)</f>
        <v>173</v>
      </c>
      <c r="AN3" s="70">
        <f t="shared" ref="AN3:AN34" si="7">J3+AC3*30+AC3*12-S3</f>
        <v>68588.979999998643</v>
      </c>
      <c r="AO3" s="71">
        <f t="shared" ref="AO3:AO34" si="8">IF(AN3/8&gt;0,AN3/8,0)</f>
        <v>8573.6224999998303</v>
      </c>
      <c r="AP3" s="71">
        <f t="shared" ref="AP3:AP34" si="9">M3+P3*AK3/7-X3</f>
        <v>-195.57142857142844</v>
      </c>
      <c r="AQ3" s="71">
        <f t="shared" ref="AQ3:AQ34" si="10">N3+P3*AL3/7-Z3</f>
        <v>197.57142857142856</v>
      </c>
      <c r="AR3" s="71">
        <f t="shared" ref="AR3:AR34" si="11">O3+P3*AM3/7-Y3</f>
        <v>-614.71428571428578</v>
      </c>
      <c r="AS3" s="61" t="str">
        <f t="shared" ref="AS3:AS34" si="12">IF(AN3&gt;15000,"Out of Stock Risk",IF(AN3&lt;-15000,"Full of Stock Risk","Normal"))</f>
        <v>Out of Stock Risk</v>
      </c>
      <c r="AT3" s="57">
        <v>27044.4399999999</v>
      </c>
      <c r="AU3" s="57">
        <f t="shared" ref="AU3:AU23" si="13">AC3*7</f>
        <v>27044.439999999868</v>
      </c>
      <c r="AV3" s="57">
        <f t="shared" ref="AV3:AV34" si="14">AC3*0.3*7+AI3*0.7</f>
        <v>23102.431999999957</v>
      </c>
      <c r="AW3" s="57">
        <v>27044.4399999999</v>
      </c>
      <c r="AX3" s="57">
        <f>AI3*0.3+AC3*7*0.7</f>
        <v>25355.007999999907</v>
      </c>
      <c r="AY3" s="61">
        <f t="shared" ref="AY3:AY34" si="15">AT3/8</f>
        <v>3380.5549999999876</v>
      </c>
      <c r="AZ3" s="61">
        <f>IFERROR(VLOOKUP(B3,[3]Sheet2!$E$4:$F$17,2,0),0)</f>
        <v>0</v>
      </c>
      <c r="BA3" s="61">
        <f t="shared" ref="BA3:BD4" si="16">AU3/8</f>
        <v>3380.5549999999835</v>
      </c>
      <c r="BB3" s="61">
        <f t="shared" si="16"/>
        <v>2887.8039999999946</v>
      </c>
      <c r="BC3" s="61">
        <f t="shared" si="16"/>
        <v>3380.5549999999876</v>
      </c>
      <c r="BD3" s="61">
        <f t="shared" si="16"/>
        <v>3169.3759999999884</v>
      </c>
      <c r="BE3" s="61">
        <f t="shared" ref="BE3:BE34" si="17">AY3/6</f>
        <v>563.4258333333313</v>
      </c>
      <c r="BF3" s="61">
        <f t="shared" ref="BF3:BF34" si="18">BA3/6</f>
        <v>563.42583333333062</v>
      </c>
      <c r="BG3" s="61">
        <f t="shared" ref="BG3:BG34" si="19">BB3/6</f>
        <v>481.30066666666579</v>
      </c>
      <c r="BH3" s="61">
        <f t="shared" ref="BH3:BH34" si="20">BC3/6</f>
        <v>563.4258333333313</v>
      </c>
      <c r="BI3" s="61">
        <f t="shared" ref="BI3:BI34" si="21">BP3/6</f>
        <v>528.2293333333314</v>
      </c>
      <c r="BJ3" s="61">
        <f t="shared" ref="BJ3:BJ34" si="22">AY3/1200</f>
        <v>2.8171291666666565</v>
      </c>
      <c r="BK3" s="61">
        <f t="shared" ref="BK3:BK34" si="23">BA3/1200</f>
        <v>2.8171291666666529</v>
      </c>
      <c r="BL3" s="61">
        <f t="shared" ref="BL3:BL34" si="24">BB3/1200</f>
        <v>2.4065033333333288</v>
      </c>
      <c r="BM3" s="61">
        <f t="shared" ref="BM3:BM34" si="25">BC3/1200</f>
        <v>2.8171291666666565</v>
      </c>
      <c r="BN3" s="61">
        <f t="shared" ref="BN3:BN34" si="26">BP3/1200</f>
        <v>2.641146666666657</v>
      </c>
      <c r="BO3" s="86">
        <f t="shared" ref="BO3:BO34" si="27">S3+SUM(AT3:AX3)-AB3*9-AC3*30</f>
        <v>274716.77428571507</v>
      </c>
      <c r="BP3" s="42">
        <f t="shared" ref="BP3:BP34" si="28">BD3-AZ3</f>
        <v>3169.3759999999884</v>
      </c>
      <c r="BQ3" s="42">
        <f>ROUNDUP(AK3,-1)-100</f>
        <v>80</v>
      </c>
      <c r="BR3" s="42">
        <f>ROUNDUP(AL3,-1)</f>
        <v>40</v>
      </c>
      <c r="BS3" s="42">
        <f>ROUNDUP(AM3,-1)-50</f>
        <v>130</v>
      </c>
      <c r="BT3">
        <f>VLOOKUP($B3,'[4]Food Monitor'!$A$4:$AD$95,16,0)</f>
        <v>300</v>
      </c>
      <c r="BU3">
        <f>VLOOKUP($B3,'[4]Food Monitor'!$A$4:$AD$95,27,0)</f>
        <v>110</v>
      </c>
    </row>
    <row r="4" spans="1:73" ht="16.5" hidden="1">
      <c r="A4" s="51" t="s">
        <v>105</v>
      </c>
      <c r="B4" s="51" t="s">
        <v>111</v>
      </c>
      <c r="C4" s="52" t="s">
        <v>112</v>
      </c>
      <c r="D4" s="51" t="s">
        <v>20</v>
      </c>
      <c r="E4" s="59" t="s">
        <v>20</v>
      </c>
      <c r="F4" s="59" t="s">
        <v>108</v>
      </c>
      <c r="G4" s="63">
        <v>353.03155199999901</v>
      </c>
      <c r="H4" s="61" t="s">
        <v>109</v>
      </c>
      <c r="I4" s="61" t="s">
        <v>113</v>
      </c>
      <c r="J4" s="70">
        <v>217365.58</v>
      </c>
      <c r="K4" s="70">
        <f t="shared" si="0"/>
        <v>248170.12000000131</v>
      </c>
      <c r="L4" s="71">
        <f t="shared" si="1"/>
        <v>98.787974759560427</v>
      </c>
      <c r="M4" s="71">
        <v>2070</v>
      </c>
      <c r="N4" s="71">
        <v>180</v>
      </c>
      <c r="O4" s="71">
        <v>2112</v>
      </c>
      <c r="P4" s="51">
        <f t="shared" si="2"/>
        <v>20</v>
      </c>
      <c r="Q4" s="73">
        <v>45191</v>
      </c>
      <c r="R4" s="73">
        <v>45211</v>
      </c>
      <c r="S4" s="70">
        <f>VLOOKUP(B4,[1]Sheet7!$H$2:$M$93,5,0)</f>
        <v>311915.87000000029</v>
      </c>
      <c r="T4" s="71">
        <f t="shared" si="3"/>
        <v>155.802132867133</v>
      </c>
      <c r="U4" s="70">
        <f>VLOOKUP($B4,[1]Sheet7!$H$2:$M$93,4,0)</f>
        <v>295197.59999999974</v>
      </c>
      <c r="V4" s="70">
        <f>VLOOKUP($B4,[1]Sheet7!$H$2:$M$93,2,0)</f>
        <v>17459.079999999998</v>
      </c>
      <c r="W4" s="70">
        <f>VLOOKUP($B4,[1]Sheet7!$H$2:$M$93,3,0)</f>
        <v>0</v>
      </c>
      <c r="X4" s="71">
        <f>VLOOKUP($B4,[1]Sheet8!$D$2:$E$93,2,0)</f>
        <v>2481</v>
      </c>
      <c r="Y4" s="71">
        <f>VLOOKUP($B4,[1]Sheet8!$P$3:$Q$94,2,0)</f>
        <v>3154</v>
      </c>
      <c r="Z4" s="71">
        <f>VLOOKUP($B4,[1]Sheet8!$J$3:$K$94,2,0)</f>
        <v>387</v>
      </c>
      <c r="AA4" s="71">
        <f>VLOOKUP($B4,[1]Sheet7!$H$2:$M$93,6,0)</f>
        <v>39081</v>
      </c>
      <c r="AB4" s="57">
        <v>2200.32428571438</v>
      </c>
      <c r="AC4" s="57">
        <v>2611.31947691287</v>
      </c>
      <c r="AD4" s="76">
        <v>0.18678846289471099</v>
      </c>
      <c r="AE4" s="57">
        <f t="shared" si="4"/>
        <v>2872.4514246041572</v>
      </c>
      <c r="AF4" s="75">
        <v>1.1000000000000001</v>
      </c>
      <c r="AG4" s="77">
        <f>VLOOKUP($B4,[2]Sheet1!$E$2:$I$96,4,0)</f>
        <v>2002</v>
      </c>
      <c r="AH4" s="77">
        <f>VLOOKUP($B4,[2]Sheet1!$E$2:$I$96,5,0)</f>
        <v>321</v>
      </c>
      <c r="AI4" s="77">
        <f t="shared" si="5"/>
        <v>14014</v>
      </c>
      <c r="AJ4" s="61">
        <f t="shared" si="6"/>
        <v>2247</v>
      </c>
      <c r="AK4" s="61">
        <f>VLOOKUP(B4,[2]Sheet9!$D$2:$F$94,3,0)</f>
        <v>125</v>
      </c>
      <c r="AL4" s="61">
        <f>VLOOKUP(B4,[2]Sheet9!$J$3:$L$95,3,0)</f>
        <v>34</v>
      </c>
      <c r="AM4" s="61">
        <f>VLOOKUP(B4,[2]Sheet9!$P$3:$R$95,3,0)</f>
        <v>141</v>
      </c>
      <c r="AN4" s="70">
        <f t="shared" si="7"/>
        <v>15125.128030340245</v>
      </c>
      <c r="AO4" s="71">
        <f t="shared" si="8"/>
        <v>1890.6410037925307</v>
      </c>
      <c r="AP4" s="71">
        <f t="shared" si="9"/>
        <v>-53.857142857142662</v>
      </c>
      <c r="AQ4" s="71">
        <f t="shared" si="10"/>
        <v>-109.85714285714289</v>
      </c>
      <c r="AR4" s="71">
        <f t="shared" si="11"/>
        <v>-639.14285714285734</v>
      </c>
      <c r="AS4" s="61" t="str">
        <f t="shared" si="12"/>
        <v>Out of Stock Risk</v>
      </c>
      <c r="AT4" s="57">
        <v>16635.2555735961</v>
      </c>
      <c r="AU4" s="57">
        <f t="shared" si="13"/>
        <v>18279.236338390088</v>
      </c>
      <c r="AV4" s="57">
        <f t="shared" si="14"/>
        <v>15293.570901517025</v>
      </c>
      <c r="AW4" s="57">
        <v>18279.236338390099</v>
      </c>
      <c r="AX4" s="57">
        <f>AC4*7</f>
        <v>18279.236338390088</v>
      </c>
      <c r="AY4" s="61">
        <f t="shared" si="15"/>
        <v>2079.4069466995124</v>
      </c>
      <c r="AZ4" s="61">
        <f>IFERROR(VLOOKUP(B4,[3]Sheet2!$E$4:$F$17,2,0),0)</f>
        <v>0</v>
      </c>
      <c r="BA4" s="61">
        <f t="shared" si="16"/>
        <v>2284.904542298761</v>
      </c>
      <c r="BB4" s="61">
        <f t="shared" si="16"/>
        <v>1911.6963626896281</v>
      </c>
      <c r="BC4" s="61">
        <f t="shared" si="16"/>
        <v>2284.9045422987624</v>
      </c>
      <c r="BD4" s="61">
        <f t="shared" si="16"/>
        <v>2284.904542298761</v>
      </c>
      <c r="BE4" s="61">
        <f t="shared" si="17"/>
        <v>346.56782444991876</v>
      </c>
      <c r="BF4" s="61">
        <f t="shared" si="18"/>
        <v>380.81742371646015</v>
      </c>
      <c r="BG4" s="61">
        <f t="shared" si="19"/>
        <v>318.61606044827136</v>
      </c>
      <c r="BH4" s="61">
        <f t="shared" si="20"/>
        <v>380.81742371646038</v>
      </c>
      <c r="BI4" s="61">
        <f t="shared" si="21"/>
        <v>380.81742371646015</v>
      </c>
      <c r="BJ4" s="61">
        <f t="shared" si="22"/>
        <v>1.7328391222495938</v>
      </c>
      <c r="BK4" s="61">
        <f t="shared" si="23"/>
        <v>1.904087118582301</v>
      </c>
      <c r="BL4" s="61">
        <f t="shared" si="24"/>
        <v>1.5930803022413569</v>
      </c>
      <c r="BM4" s="61">
        <f t="shared" si="25"/>
        <v>1.9040871185823021</v>
      </c>
      <c r="BN4" s="61">
        <f t="shared" si="26"/>
        <v>1.904087118582301</v>
      </c>
      <c r="BO4">
        <f t="shared" si="27"/>
        <v>300539.9026114681</v>
      </c>
      <c r="BP4" s="42">
        <f t="shared" si="28"/>
        <v>2284.904542298761</v>
      </c>
      <c r="BQ4" s="42">
        <f>ROUNDUP(AK4,-1)-50</f>
        <v>80</v>
      </c>
      <c r="BR4" s="42">
        <v>0</v>
      </c>
      <c r="BS4" s="42">
        <f>ROUNDUP(AM4,-1)-50</f>
        <v>100</v>
      </c>
      <c r="BT4">
        <f>VLOOKUP($B4,'[4]Food Monitor'!$A$4:$AD$95,16,0)</f>
        <v>300</v>
      </c>
      <c r="BU4">
        <f>VLOOKUP($B4,'[4]Food Monitor'!$A$4:$AD$95,27,0)</f>
        <v>160</v>
      </c>
    </row>
    <row r="5" spans="1:73" ht="16.5" hidden="1">
      <c r="A5" s="51" t="s">
        <v>105</v>
      </c>
      <c r="B5" s="51" t="s">
        <v>114</v>
      </c>
      <c r="C5" s="52" t="s">
        <v>115</v>
      </c>
      <c r="D5" s="51" t="s">
        <v>20</v>
      </c>
      <c r="E5" s="59" t="s">
        <v>20</v>
      </c>
      <c r="F5" s="59" t="s">
        <v>108</v>
      </c>
      <c r="G5" s="63">
        <v>303.7929408</v>
      </c>
      <c r="H5" s="61" t="s">
        <v>116</v>
      </c>
      <c r="I5" s="61" t="s">
        <v>110</v>
      </c>
      <c r="J5" s="70">
        <v>347547.84</v>
      </c>
      <c r="K5" s="70">
        <f t="shared" si="0"/>
        <v>462761.05000000703</v>
      </c>
      <c r="L5" s="71">
        <f t="shared" si="1"/>
        <v>42.231873931814803</v>
      </c>
      <c r="M5" s="71">
        <v>1800</v>
      </c>
      <c r="N5" s="71">
        <v>720</v>
      </c>
      <c r="O5" s="71">
        <v>3168</v>
      </c>
      <c r="P5" s="51">
        <f t="shared" si="2"/>
        <v>20</v>
      </c>
      <c r="Q5" s="73">
        <v>45191</v>
      </c>
      <c r="R5" s="73">
        <v>45211</v>
      </c>
      <c r="S5" s="70">
        <f>VLOOKUP(B5,[1]Sheet7!$H$2:$M$93,5,0)</f>
        <v>506222.67999999947</v>
      </c>
      <c r="T5" s="71">
        <f t="shared" si="3"/>
        <v>85.022284178703302</v>
      </c>
      <c r="U5" s="70">
        <f>VLOOKUP($B5,[1]Sheet7!$H$2:$M$93,4,0)</f>
        <v>417089.25999999774</v>
      </c>
      <c r="V5" s="70">
        <f>VLOOKUP($B5,[1]Sheet7!$H$2:$M$93,2,0)</f>
        <v>56549.559999999932</v>
      </c>
      <c r="W5" s="70">
        <f>VLOOKUP($B5,[1]Sheet7!$H$2:$M$93,3,0)</f>
        <v>32576.629999999968</v>
      </c>
      <c r="X5" s="71">
        <f>VLOOKUP($B5,[1]Sheet8!$D$2:$E$93,2,0)</f>
        <v>2183</v>
      </c>
      <c r="Y5" s="71">
        <f>VLOOKUP($B5,[1]Sheet8!$P$3:$Q$94,2,0)</f>
        <v>5364</v>
      </c>
      <c r="Z5" s="71">
        <f>VLOOKUP($B5,[1]Sheet8!$J$3:$K$94,2,0)</f>
        <v>418</v>
      </c>
      <c r="AA5" s="71">
        <f>VLOOKUP($B5,[1]Sheet7!$H$2:$M$93,6,0)</f>
        <v>65582</v>
      </c>
      <c r="AB5" s="57">
        <v>8229.5150000004996</v>
      </c>
      <c r="AC5" s="57">
        <v>8539.6025148136196</v>
      </c>
      <c r="AD5" s="76">
        <v>3.7679925829541501E-2</v>
      </c>
      <c r="AE5" s="57">
        <f t="shared" si="4"/>
        <v>9393.5627662949828</v>
      </c>
      <c r="AF5" s="75">
        <v>1.1000000000000001</v>
      </c>
      <c r="AG5" s="77">
        <f>VLOOKUP($B5,[2]Sheet1!$E$2:$I$96,4,0)</f>
        <v>5954</v>
      </c>
      <c r="AH5" s="77">
        <f>VLOOKUP($B5,[2]Sheet1!$E$2:$I$96,5,0)</f>
        <v>866</v>
      </c>
      <c r="AI5" s="77">
        <f t="shared" si="5"/>
        <v>41678</v>
      </c>
      <c r="AJ5" s="61">
        <f t="shared" si="6"/>
        <v>6062</v>
      </c>
      <c r="AK5" s="61">
        <f>VLOOKUP(B5,[2]Sheet9!$D$2:$F$94,3,0)</f>
        <v>264</v>
      </c>
      <c r="AL5" s="61">
        <f>VLOOKUP(B5,[2]Sheet9!$J$3:$L$95,3,0)</f>
        <v>82</v>
      </c>
      <c r="AM5" s="61">
        <f>VLOOKUP(B5,[2]Sheet9!$P$3:$R$95,3,0)</f>
        <v>363</v>
      </c>
      <c r="AN5" s="70">
        <f t="shared" si="7"/>
        <v>199988.46562217246</v>
      </c>
      <c r="AO5" s="71">
        <f t="shared" si="8"/>
        <v>24998.558202771557</v>
      </c>
      <c r="AP5" s="71">
        <f t="shared" si="9"/>
        <v>371.28571428571422</v>
      </c>
      <c r="AQ5" s="71">
        <f t="shared" si="10"/>
        <v>536.28571428571422</v>
      </c>
      <c r="AR5" s="71">
        <f t="shared" si="11"/>
        <v>-1158.8571428571431</v>
      </c>
      <c r="AS5" s="61" t="str">
        <f t="shared" si="12"/>
        <v>Out of Stock Risk</v>
      </c>
      <c r="AT5" s="57">
        <v>58536.867544442903</v>
      </c>
      <c r="AU5" s="57">
        <f t="shared" si="13"/>
        <v>59777.217603695339</v>
      </c>
      <c r="AV5" s="57">
        <f t="shared" si="14"/>
        <v>47107.765281108601</v>
      </c>
      <c r="AW5" s="57">
        <v>59777.217603695302</v>
      </c>
      <c r="AX5" s="57">
        <f>AI5*0.6+AC5*7*0.4</f>
        <v>48917.687041478137</v>
      </c>
      <c r="AY5" s="61">
        <f t="shared" si="15"/>
        <v>7317.1084430553628</v>
      </c>
      <c r="AZ5" s="61">
        <f>IFERROR(VLOOKUP(B5,[3]Sheet2!$E$4:$F$17,2,0),0)</f>
        <v>1949</v>
      </c>
      <c r="BA5" s="61">
        <f>AU5/8-AZ5</f>
        <v>5523.1522004619173</v>
      </c>
      <c r="BB5" s="61">
        <f t="shared" ref="BB5:BB44" si="29">AV5/8</f>
        <v>5888.4706601385751</v>
      </c>
      <c r="BC5" s="61">
        <f t="shared" ref="BC5:BC44" si="30">AW5/8</f>
        <v>7472.1522004619128</v>
      </c>
      <c r="BD5" s="61">
        <f t="shared" ref="BD5:BD44" si="31">AX5/8</f>
        <v>6114.7108801847671</v>
      </c>
      <c r="BE5" s="61">
        <f t="shared" si="17"/>
        <v>1219.5180738425604</v>
      </c>
      <c r="BF5" s="61">
        <f t="shared" si="18"/>
        <v>920.52536674365285</v>
      </c>
      <c r="BG5" s="61">
        <f t="shared" si="19"/>
        <v>981.41177668976252</v>
      </c>
      <c r="BH5" s="61">
        <f t="shared" si="20"/>
        <v>1245.3587000769855</v>
      </c>
      <c r="BI5" s="61">
        <f t="shared" si="21"/>
        <v>694.28514669746119</v>
      </c>
      <c r="BJ5" s="61">
        <f t="shared" si="22"/>
        <v>6.097590369212802</v>
      </c>
      <c r="BK5" s="61">
        <f t="shared" si="23"/>
        <v>4.6026268337182641</v>
      </c>
      <c r="BL5" s="61">
        <f t="shared" si="24"/>
        <v>4.9070588834488129</v>
      </c>
      <c r="BM5" s="61">
        <f t="shared" si="25"/>
        <v>6.2267935003849271</v>
      </c>
      <c r="BN5" s="61">
        <f t="shared" si="26"/>
        <v>3.471425733487306</v>
      </c>
      <c r="BO5">
        <f t="shared" si="27"/>
        <v>450085.72463000671</v>
      </c>
      <c r="BP5" s="42">
        <f t="shared" si="28"/>
        <v>4165.7108801847671</v>
      </c>
      <c r="BQ5" s="42">
        <f>ROUNDUP(AK5,-1)</f>
        <v>270</v>
      </c>
      <c r="BR5" s="42">
        <f>ROUNDUP(AL5,-1)</f>
        <v>90</v>
      </c>
      <c r="BS5" s="42">
        <f>ROUNDUP(AM5,-1)-100</f>
        <v>270</v>
      </c>
      <c r="BT5">
        <f>VLOOKUP($B5,'[4]Food Monitor'!$A$4:$AD$95,16,0)</f>
        <v>500</v>
      </c>
      <c r="BU5">
        <f>VLOOKUP($B5,'[4]Food Monitor'!$A$4:$AD$95,27,0)</f>
        <v>190</v>
      </c>
    </row>
    <row r="6" spans="1:73" ht="16.5" hidden="1">
      <c r="A6" s="51" t="s">
        <v>105</v>
      </c>
      <c r="B6" s="51" t="s">
        <v>117</v>
      </c>
      <c r="C6" s="52" t="s">
        <v>118</v>
      </c>
      <c r="D6" s="51" t="s">
        <v>20</v>
      </c>
      <c r="E6" s="59" t="s">
        <v>20</v>
      </c>
      <c r="F6" s="59" t="s">
        <v>108</v>
      </c>
      <c r="G6" s="63">
        <v>207.266682199999</v>
      </c>
      <c r="H6" s="61" t="s">
        <v>109</v>
      </c>
      <c r="I6" s="61" t="s">
        <v>110</v>
      </c>
      <c r="J6" s="70">
        <v>173540.1</v>
      </c>
      <c r="K6" s="70">
        <f t="shared" si="0"/>
        <v>211567.7700000008</v>
      </c>
      <c r="L6" s="71">
        <f t="shared" si="1"/>
        <v>63.889304814098494</v>
      </c>
      <c r="M6" s="71">
        <v>990</v>
      </c>
      <c r="N6" s="71">
        <v>450</v>
      </c>
      <c r="O6" s="71">
        <v>2112</v>
      </c>
      <c r="P6" s="51">
        <f t="shared" si="2"/>
        <v>20</v>
      </c>
      <c r="Q6" s="73">
        <v>45191</v>
      </c>
      <c r="R6" s="73">
        <v>45211</v>
      </c>
      <c r="S6" s="70">
        <f>VLOOKUP(B6,[1]Sheet7!$H$2:$M$93,5,0)</f>
        <v>287767.03000000049</v>
      </c>
      <c r="T6" s="71">
        <f t="shared" si="3"/>
        <v>140.64859726295234</v>
      </c>
      <c r="U6" s="70">
        <f>VLOOKUP($B6,[1]Sheet7!$H$2:$M$93,4,0)</f>
        <v>267644.33000000025</v>
      </c>
      <c r="V6" s="70">
        <f>VLOOKUP($B6,[1]Sheet7!$H$2:$M$93,2,0)</f>
        <v>0</v>
      </c>
      <c r="W6" s="70">
        <f>VLOOKUP($B6,[1]Sheet7!$H$2:$M$93,3,0)</f>
        <v>20147.21999999999</v>
      </c>
      <c r="X6" s="71">
        <f>VLOOKUP($B6,[1]Sheet8!$D$2:$E$93,2,0)</f>
        <v>1583</v>
      </c>
      <c r="Y6" s="71">
        <f>VLOOKUP($B6,[1]Sheet8!$P$3:$Q$94,2,0)</f>
        <v>2924</v>
      </c>
      <c r="Z6" s="71">
        <f>VLOOKUP($B6,[1]Sheet8!$J$3:$K$94,2,0)</f>
        <v>535</v>
      </c>
      <c r="AA6" s="71">
        <f>VLOOKUP($B6,[1]Sheet7!$H$2:$M$93,6,0)</f>
        <v>37703</v>
      </c>
      <c r="AB6" s="57">
        <v>2716.2621428572002</v>
      </c>
      <c r="AC6" s="57">
        <v>2716.2621428572002</v>
      </c>
      <c r="AD6" s="75">
        <v>0</v>
      </c>
      <c r="AE6" s="57">
        <f t="shared" si="4"/>
        <v>2987.8883571429205</v>
      </c>
      <c r="AF6" s="75">
        <v>1.1000000000000001</v>
      </c>
      <c r="AG6" s="77">
        <f>VLOOKUP($B6,[2]Sheet1!$E$2:$I$96,4,0)</f>
        <v>2046</v>
      </c>
      <c r="AH6" s="77">
        <f>VLOOKUP($B6,[2]Sheet1!$E$2:$I$96,5,0)</f>
        <v>277</v>
      </c>
      <c r="AI6" s="77">
        <f t="shared" si="5"/>
        <v>14322</v>
      </c>
      <c r="AJ6" s="61">
        <f t="shared" si="6"/>
        <v>1939</v>
      </c>
      <c r="AK6" s="61">
        <f>VLOOKUP(B6,[2]Sheet9!$D$2:$F$94,3,0)</f>
        <v>145</v>
      </c>
      <c r="AL6" s="61">
        <f>VLOOKUP(B6,[2]Sheet9!$J$3:$L$95,3,0)</f>
        <v>26</v>
      </c>
      <c r="AM6" s="61">
        <f>VLOOKUP(B6,[2]Sheet9!$P$3:$R$95,3,0)</f>
        <v>156</v>
      </c>
      <c r="AN6" s="70">
        <f t="shared" si="7"/>
        <v>-143.91999999806285</v>
      </c>
      <c r="AO6" s="71">
        <f t="shared" si="8"/>
        <v>0</v>
      </c>
      <c r="AP6" s="71">
        <f t="shared" si="9"/>
        <v>-178.71428571428578</v>
      </c>
      <c r="AQ6" s="71">
        <f t="shared" si="10"/>
        <v>-10.714285714285666</v>
      </c>
      <c r="AR6" s="71">
        <f t="shared" si="11"/>
        <v>-366.28571428571422</v>
      </c>
      <c r="AS6" s="61" t="str">
        <f t="shared" si="12"/>
        <v>Normal</v>
      </c>
      <c r="AT6" s="57">
        <v>19013.835000000399</v>
      </c>
      <c r="AU6" s="57">
        <f t="shared" si="13"/>
        <v>19013.835000000399</v>
      </c>
      <c r="AV6" s="57">
        <f t="shared" si="14"/>
        <v>15729.550500000119</v>
      </c>
      <c r="AW6" s="57">
        <v>19013.835000000399</v>
      </c>
      <c r="AX6" s="57">
        <f>AI6*0.3+AC6*7*0.7</f>
        <v>17606.284500000278</v>
      </c>
      <c r="AY6" s="61">
        <f t="shared" si="15"/>
        <v>2376.7293750000499</v>
      </c>
      <c r="AZ6" s="61">
        <f>IFERROR(VLOOKUP(B6,[3]Sheet2!$E$4:$F$17,2,0),0)</f>
        <v>0</v>
      </c>
      <c r="BA6" s="61">
        <f>AU6/8</f>
        <v>2376.7293750000499</v>
      </c>
      <c r="BB6" s="61">
        <f t="shared" si="29"/>
        <v>1966.1938125000149</v>
      </c>
      <c r="BC6" s="61">
        <f t="shared" si="30"/>
        <v>2376.7293750000499</v>
      </c>
      <c r="BD6" s="61">
        <f t="shared" si="31"/>
        <v>2200.7855625000348</v>
      </c>
      <c r="BE6" s="61">
        <f t="shared" si="17"/>
        <v>396.12156250000834</v>
      </c>
      <c r="BF6" s="61">
        <f t="shared" si="18"/>
        <v>396.12156250000834</v>
      </c>
      <c r="BG6" s="61">
        <f t="shared" si="19"/>
        <v>327.69896875000251</v>
      </c>
      <c r="BH6" s="61">
        <f t="shared" si="20"/>
        <v>396.12156250000834</v>
      </c>
      <c r="BI6" s="61">
        <f t="shared" si="21"/>
        <v>366.79759375000577</v>
      </c>
      <c r="BJ6" s="61">
        <f t="shared" si="22"/>
        <v>1.9806078125000417</v>
      </c>
      <c r="BK6" s="61">
        <f t="shared" si="23"/>
        <v>1.9806078125000417</v>
      </c>
      <c r="BL6" s="61">
        <f t="shared" si="24"/>
        <v>1.6384948437500124</v>
      </c>
      <c r="BM6" s="61">
        <f t="shared" si="25"/>
        <v>1.9806078125000417</v>
      </c>
      <c r="BN6" s="61">
        <f t="shared" si="26"/>
        <v>1.8339879687500289</v>
      </c>
      <c r="BO6">
        <f t="shared" si="27"/>
        <v>272210.14642857132</v>
      </c>
      <c r="BP6" s="42">
        <f t="shared" si="28"/>
        <v>2200.7855625000348</v>
      </c>
      <c r="BQ6" s="42">
        <f>ROUNDUP(AK6,-1)-100</f>
        <v>50</v>
      </c>
      <c r="BR6" s="42">
        <f>ROUNDUP(AL6,-1)-20</f>
        <v>10</v>
      </c>
      <c r="BS6" s="42">
        <f>ROUNDUP(AM6,-1)</f>
        <v>160</v>
      </c>
      <c r="BT6">
        <f>VLOOKUP($B6,'[4]Food Monitor'!$A$4:$AD$95,16,0)</f>
        <v>300</v>
      </c>
      <c r="BU6">
        <f>VLOOKUP($B6,'[4]Food Monitor'!$A$4:$AD$95,27,0)</f>
        <v>50</v>
      </c>
    </row>
    <row r="7" spans="1:73" ht="16.5" hidden="1">
      <c r="A7" s="51" t="s">
        <v>105</v>
      </c>
      <c r="B7" s="51" t="s">
        <v>119</v>
      </c>
      <c r="C7" s="52" t="s">
        <v>120</v>
      </c>
      <c r="D7" s="51" t="s">
        <v>20</v>
      </c>
      <c r="E7" s="59" t="s">
        <v>20</v>
      </c>
      <c r="F7" s="59" t="s">
        <v>108</v>
      </c>
      <c r="G7" s="63">
        <v>125.419104</v>
      </c>
      <c r="H7" s="61" t="s">
        <v>121</v>
      </c>
      <c r="I7" s="61" t="s">
        <v>113</v>
      </c>
      <c r="J7" s="70">
        <v>139528.18</v>
      </c>
      <c r="K7" s="70">
        <f t="shared" si="0"/>
        <v>172203.66000000102</v>
      </c>
      <c r="L7" s="71">
        <f t="shared" si="1"/>
        <v>59.781662580012259</v>
      </c>
      <c r="M7" s="71">
        <v>630</v>
      </c>
      <c r="N7" s="71">
        <v>90</v>
      </c>
      <c r="O7" s="71">
        <v>1408</v>
      </c>
      <c r="P7" s="51">
        <f t="shared" si="2"/>
        <v>20</v>
      </c>
      <c r="Q7" s="73">
        <v>45191</v>
      </c>
      <c r="R7" s="73">
        <v>45211</v>
      </c>
      <c r="S7" s="70">
        <f>VLOOKUP(B7,[1]Sheet7!$H$2:$M$93,5,0)</f>
        <v>224687.59000000081</v>
      </c>
      <c r="T7" s="71">
        <f t="shared" si="3"/>
        <v>113.0788072471066</v>
      </c>
      <c r="U7" s="70">
        <f>VLOOKUP($B7,[1]Sheet7!$H$2:$M$93,4,0)</f>
        <v>156701.61000000004</v>
      </c>
      <c r="V7" s="70">
        <f>VLOOKUP($B7,[1]Sheet7!$H$2:$M$93,2,0)</f>
        <v>68276.289999999964</v>
      </c>
      <c r="W7" s="70">
        <f>VLOOKUP($B7,[1]Sheet7!$H$2:$M$93,3,0)</f>
        <v>0</v>
      </c>
      <c r="X7" s="71">
        <f>VLOOKUP($B7,[1]Sheet8!$D$2:$E$93,2,0)</f>
        <v>1207</v>
      </c>
      <c r="Y7" s="71">
        <f>VLOOKUP($B7,[1]Sheet8!$P$3:$Q$94,2,0)</f>
        <v>2211</v>
      </c>
      <c r="Z7" s="71">
        <f>VLOOKUP($B7,[1]Sheet8!$J$3:$K$94,2,0)</f>
        <v>312</v>
      </c>
      <c r="AA7" s="71">
        <f>VLOOKUP($B7,[1]Sheet7!$H$2:$M$93,6,0)</f>
        <v>28271</v>
      </c>
      <c r="AB7" s="57">
        <v>2333.9628571429298</v>
      </c>
      <c r="AC7" s="57">
        <v>2333.9628571429298</v>
      </c>
      <c r="AD7" s="75">
        <v>0</v>
      </c>
      <c r="AE7" s="57">
        <f t="shared" si="4"/>
        <v>2567.3591428572231</v>
      </c>
      <c r="AF7" s="75">
        <v>1.1000000000000001</v>
      </c>
      <c r="AG7" s="77">
        <f>VLOOKUP($B7,[2]Sheet1!$E$2:$I$96,4,0)</f>
        <v>1987</v>
      </c>
      <c r="AH7" s="77">
        <f>VLOOKUP($B7,[2]Sheet1!$E$2:$I$96,5,0)</f>
        <v>303</v>
      </c>
      <c r="AI7" s="77">
        <f t="shared" si="5"/>
        <v>13909</v>
      </c>
      <c r="AJ7" s="61">
        <f t="shared" si="6"/>
        <v>2121</v>
      </c>
      <c r="AK7" s="61">
        <f>VLOOKUP(B7,[2]Sheet9!$D$2:$F$94,3,0)</f>
        <v>119</v>
      </c>
      <c r="AL7" s="61">
        <f>VLOOKUP(B7,[2]Sheet9!$J$3:$L$95,3,0)</f>
        <v>41</v>
      </c>
      <c r="AM7" s="61">
        <f>VLOOKUP(B7,[2]Sheet9!$P$3:$R$95,3,0)</f>
        <v>152</v>
      </c>
      <c r="AN7" s="70">
        <f t="shared" si="7"/>
        <v>12867.03000000224</v>
      </c>
      <c r="AO7" s="71">
        <f t="shared" si="8"/>
        <v>1608.37875000028</v>
      </c>
      <c r="AP7" s="71">
        <f t="shared" si="9"/>
        <v>-237</v>
      </c>
      <c r="AQ7" s="71">
        <f t="shared" si="10"/>
        <v>-104.85714285714286</v>
      </c>
      <c r="AR7" s="71">
        <f t="shared" si="11"/>
        <v>-368.71428571428578</v>
      </c>
      <c r="AS7" s="61" t="str">
        <f t="shared" si="12"/>
        <v>Normal</v>
      </c>
      <c r="AT7" s="57">
        <v>16337.7400000005</v>
      </c>
      <c r="AU7" s="57">
        <f t="shared" si="13"/>
        <v>16337.740000000509</v>
      </c>
      <c r="AV7" s="57">
        <f t="shared" si="14"/>
        <v>14637.622000000152</v>
      </c>
      <c r="AW7" s="57">
        <v>16337.7400000005</v>
      </c>
      <c r="AX7" s="57">
        <f>AI7*1.22</f>
        <v>16968.98</v>
      </c>
      <c r="AY7" s="61">
        <f t="shared" si="15"/>
        <v>2042.2175000000625</v>
      </c>
      <c r="AZ7" s="61">
        <f>IFERROR(VLOOKUP(B7,[3]Sheet2!$E$4:$F$17,2,0),0)</f>
        <v>0</v>
      </c>
      <c r="BA7" s="61">
        <f>AU7/8</f>
        <v>2042.2175000000636</v>
      </c>
      <c r="BB7" s="61">
        <f t="shared" si="29"/>
        <v>1829.702750000019</v>
      </c>
      <c r="BC7" s="61">
        <f t="shared" si="30"/>
        <v>2042.2175000000625</v>
      </c>
      <c r="BD7" s="61">
        <f t="shared" si="31"/>
        <v>2121.1224999999999</v>
      </c>
      <c r="BE7" s="61">
        <f t="shared" si="17"/>
        <v>340.36958333334377</v>
      </c>
      <c r="BF7" s="61">
        <f t="shared" si="18"/>
        <v>340.36958333334394</v>
      </c>
      <c r="BG7" s="61">
        <f t="shared" si="19"/>
        <v>304.95045833333648</v>
      </c>
      <c r="BH7" s="61">
        <f t="shared" si="20"/>
        <v>340.36958333334377</v>
      </c>
      <c r="BI7" s="61">
        <f t="shared" si="21"/>
        <v>353.52041666666668</v>
      </c>
      <c r="BJ7" s="61">
        <f t="shared" si="22"/>
        <v>1.7018479166667186</v>
      </c>
      <c r="BK7" s="61">
        <f t="shared" si="23"/>
        <v>1.7018479166667198</v>
      </c>
      <c r="BL7" s="61">
        <f t="shared" si="24"/>
        <v>1.5247522916666825</v>
      </c>
      <c r="BM7" s="61">
        <f t="shared" si="25"/>
        <v>1.7018479166667186</v>
      </c>
      <c r="BN7" s="61">
        <f t="shared" si="26"/>
        <v>1.7676020833333332</v>
      </c>
      <c r="BO7">
        <f t="shared" si="27"/>
        <v>214282.86057142817</v>
      </c>
      <c r="BP7" s="42">
        <f t="shared" si="28"/>
        <v>2121.1224999999999</v>
      </c>
      <c r="BQ7" s="42">
        <f>ROUNDUP(AK7,-1)-100</f>
        <v>20</v>
      </c>
      <c r="BR7" s="42">
        <f>ROUNDUP(AL7,-1)-50</f>
        <v>0</v>
      </c>
      <c r="BS7" s="42">
        <f>ROUNDUP(AM7,-1)</f>
        <v>160</v>
      </c>
      <c r="BT7">
        <f>VLOOKUP($B7,'[4]Food Monitor'!$A$4:$AD$95,16,0)</f>
        <v>180</v>
      </c>
      <c r="BU7">
        <f>VLOOKUP($B7,'[4]Food Monitor'!$A$4:$AD$95,27,0)</f>
        <v>100</v>
      </c>
    </row>
    <row r="8" spans="1:73" ht="16.5" hidden="1">
      <c r="A8" s="51" t="s">
        <v>105</v>
      </c>
      <c r="B8" s="51" t="s">
        <v>122</v>
      </c>
      <c r="C8" s="52" t="s">
        <v>123</v>
      </c>
      <c r="D8" s="51" t="s">
        <v>20</v>
      </c>
      <c r="E8" s="59" t="s">
        <v>20</v>
      </c>
      <c r="F8" s="59" t="s">
        <v>108</v>
      </c>
      <c r="G8" s="63">
        <v>441.93976129999902</v>
      </c>
      <c r="H8" s="61" t="s">
        <v>116</v>
      </c>
      <c r="I8" s="61" t="s">
        <v>110</v>
      </c>
      <c r="J8" s="70">
        <v>394624.54</v>
      </c>
      <c r="K8" s="70">
        <f t="shared" si="0"/>
        <v>512125.52000000793</v>
      </c>
      <c r="L8" s="71">
        <f t="shared" si="1"/>
        <v>47.018701971673991</v>
      </c>
      <c r="M8" s="71">
        <v>1620</v>
      </c>
      <c r="N8" s="71">
        <v>720</v>
      </c>
      <c r="O8" s="71">
        <v>3168</v>
      </c>
      <c r="P8" s="51">
        <f t="shared" si="2"/>
        <v>20</v>
      </c>
      <c r="Q8" s="73">
        <v>45191</v>
      </c>
      <c r="R8" s="73">
        <v>45211</v>
      </c>
      <c r="S8" s="70">
        <f>VLOOKUP(B8,[1]Sheet7!$H$2:$M$93,5,0)</f>
        <v>734616.80999999924</v>
      </c>
      <c r="T8" s="71">
        <f t="shared" si="3"/>
        <v>140.81211615871175</v>
      </c>
      <c r="U8" s="70">
        <f>VLOOKUP($B8,[1]Sheet7!$H$2:$M$93,4,0)</f>
        <v>679835.59999999823</v>
      </c>
      <c r="V8" s="70">
        <f>VLOOKUP($B8,[1]Sheet7!$H$2:$M$93,2,0)</f>
        <v>36362.149999999987</v>
      </c>
      <c r="W8" s="70">
        <f>VLOOKUP($B8,[1]Sheet7!$H$2:$M$93,3,0)</f>
        <v>18416.21</v>
      </c>
      <c r="X8" s="71">
        <f>VLOOKUP($B8,[1]Sheet8!$D$2:$E$93,2,0)</f>
        <v>3507</v>
      </c>
      <c r="Y8" s="71">
        <f>VLOOKUP($B8,[1]Sheet8!$P$3:$Q$94,2,0)</f>
        <v>5968</v>
      </c>
      <c r="Z8" s="71">
        <f>VLOOKUP($B8,[1]Sheet8!$J$3:$K$94,2,0)</f>
        <v>645</v>
      </c>
      <c r="AA8" s="71">
        <f>VLOOKUP($B8,[1]Sheet7!$H$2:$M$93,6,0)</f>
        <v>98585</v>
      </c>
      <c r="AB8" s="57">
        <v>8392.9271428577104</v>
      </c>
      <c r="AC8" s="57">
        <v>8392.9271428577104</v>
      </c>
      <c r="AD8" s="75">
        <v>0</v>
      </c>
      <c r="AE8" s="57">
        <f t="shared" si="4"/>
        <v>9232.2198571434819</v>
      </c>
      <c r="AF8" s="75">
        <v>1.1000000000000001</v>
      </c>
      <c r="AG8" s="77">
        <f>VLOOKUP($B8,[2]Sheet1!$E$2:$I$96,4,0)</f>
        <v>5217</v>
      </c>
      <c r="AH8" s="77">
        <f>VLOOKUP($B8,[2]Sheet1!$E$2:$I$96,5,0)</f>
        <v>785</v>
      </c>
      <c r="AI8" s="77">
        <f t="shared" si="5"/>
        <v>36519</v>
      </c>
      <c r="AJ8" s="61">
        <f t="shared" si="6"/>
        <v>5495</v>
      </c>
      <c r="AK8" s="61">
        <f>VLOOKUP(B8,[2]Sheet9!$D$2:$F$94,3,0)</f>
        <v>227</v>
      </c>
      <c r="AL8" s="61">
        <f>VLOOKUP(B8,[2]Sheet9!$J$3:$L$95,3,0)</f>
        <v>105</v>
      </c>
      <c r="AM8" s="61">
        <f>VLOOKUP(B8,[2]Sheet9!$P$3:$R$95,3,0)</f>
        <v>275</v>
      </c>
      <c r="AN8" s="70">
        <f t="shared" si="7"/>
        <v>12510.670000024606</v>
      </c>
      <c r="AO8" s="71">
        <f t="shared" si="8"/>
        <v>1563.8337500030757</v>
      </c>
      <c r="AP8" s="71">
        <f t="shared" si="9"/>
        <v>-1238.4285714285716</v>
      </c>
      <c r="AQ8" s="71">
        <f t="shared" si="10"/>
        <v>375</v>
      </c>
      <c r="AR8" s="71">
        <f t="shared" si="11"/>
        <v>-2014.2857142857142</v>
      </c>
      <c r="AS8" s="61" t="str">
        <f t="shared" si="12"/>
        <v>Normal</v>
      </c>
      <c r="AT8" s="57">
        <v>40000</v>
      </c>
      <c r="AU8" s="57">
        <f t="shared" si="13"/>
        <v>58750.490000003971</v>
      </c>
      <c r="AV8" s="57">
        <f t="shared" si="14"/>
        <v>43188.447000001193</v>
      </c>
      <c r="AW8" s="57">
        <v>40000</v>
      </c>
      <c r="AX8" s="57">
        <f>AI8*1.22</f>
        <v>44553.18</v>
      </c>
      <c r="AY8" s="61">
        <f t="shared" si="15"/>
        <v>5000</v>
      </c>
      <c r="AZ8" s="61">
        <f>IFERROR(VLOOKUP(B8,[3]Sheet2!$E$4:$F$17,2,0),0)</f>
        <v>2441</v>
      </c>
      <c r="BA8" s="61">
        <f>AU8/8-AZ8</f>
        <v>4902.8112500004963</v>
      </c>
      <c r="BB8" s="61">
        <f t="shared" si="29"/>
        <v>5398.5558750001492</v>
      </c>
      <c r="BC8" s="61">
        <f t="shared" si="30"/>
        <v>5000</v>
      </c>
      <c r="BD8" s="61">
        <f t="shared" si="31"/>
        <v>5569.1475</v>
      </c>
      <c r="BE8" s="61">
        <f t="shared" si="17"/>
        <v>833.33333333333337</v>
      </c>
      <c r="BF8" s="61">
        <f t="shared" si="18"/>
        <v>817.13520833341602</v>
      </c>
      <c r="BG8" s="61">
        <f t="shared" si="19"/>
        <v>899.75931250002486</v>
      </c>
      <c r="BH8" s="61">
        <f t="shared" si="20"/>
        <v>833.33333333333337</v>
      </c>
      <c r="BI8" s="61">
        <f t="shared" si="21"/>
        <v>521.35791666666671</v>
      </c>
      <c r="BJ8" s="61">
        <f t="shared" si="22"/>
        <v>4.166666666666667</v>
      </c>
      <c r="BK8" s="61">
        <f t="shared" si="23"/>
        <v>4.0856760416670799</v>
      </c>
      <c r="BL8" s="61">
        <f t="shared" si="24"/>
        <v>4.4987965625001243</v>
      </c>
      <c r="BM8" s="61">
        <f t="shared" si="25"/>
        <v>4.166666666666667</v>
      </c>
      <c r="BN8" s="61">
        <f t="shared" si="26"/>
        <v>2.6067895833333332</v>
      </c>
      <c r="BO8">
        <f t="shared" si="27"/>
        <v>633784.76842855371</v>
      </c>
      <c r="BP8" s="42">
        <f t="shared" si="28"/>
        <v>3128.1475</v>
      </c>
      <c r="BQ8" s="42">
        <f>ROUNDUP(AK8,-1)-100</f>
        <v>130</v>
      </c>
      <c r="BR8" s="42">
        <f>ROUNDUP(AL8,-1)</f>
        <v>110</v>
      </c>
      <c r="BS8" s="42">
        <f>ROUNDUP(AM8,-1)-100</f>
        <v>180</v>
      </c>
      <c r="BT8">
        <f>VLOOKUP($B8,'[4]Food Monitor'!$A$4:$AD$95,16,0)</f>
        <v>600</v>
      </c>
      <c r="BU8">
        <f>VLOOKUP($B8,'[4]Food Monitor'!$A$4:$AD$95,27,0)</f>
        <v>200</v>
      </c>
    </row>
    <row r="9" spans="1:73" ht="16.5" hidden="1">
      <c r="A9" s="51" t="s">
        <v>105</v>
      </c>
      <c r="B9" s="51" t="s">
        <v>124</v>
      </c>
      <c r="C9" s="52" t="s">
        <v>125</v>
      </c>
      <c r="D9" s="51" t="s">
        <v>20</v>
      </c>
      <c r="E9" s="59" t="s">
        <v>20</v>
      </c>
      <c r="F9" s="59" t="s">
        <v>108</v>
      </c>
      <c r="G9" s="63">
        <v>275.92202880000002</v>
      </c>
      <c r="H9" s="61" t="s">
        <v>109</v>
      </c>
      <c r="I9" s="61" t="s">
        <v>113</v>
      </c>
      <c r="J9" s="70">
        <v>198258.25</v>
      </c>
      <c r="K9" s="70">
        <f t="shared" si="0"/>
        <v>250590.03000000006</v>
      </c>
      <c r="L9" s="71">
        <f t="shared" si="1"/>
        <v>53.038813126555162</v>
      </c>
      <c r="M9" s="71">
        <v>1260</v>
      </c>
      <c r="N9" s="71">
        <v>180</v>
      </c>
      <c r="O9" s="71">
        <v>2112</v>
      </c>
      <c r="P9" s="51">
        <f t="shared" si="2"/>
        <v>20</v>
      </c>
      <c r="Q9" s="73">
        <v>45191</v>
      </c>
      <c r="R9" s="73">
        <v>45211</v>
      </c>
      <c r="S9" s="70">
        <f>VLOOKUP(B9,[1]Sheet7!$H$2:$M$93,5,0)</f>
        <v>303677.35000000009</v>
      </c>
      <c r="T9" s="71">
        <f t="shared" si="3"/>
        <v>94.397684177805431</v>
      </c>
      <c r="U9" s="70">
        <f>VLOOKUP($B9,[1]Sheet7!$H$2:$M$93,4,0)</f>
        <v>280511.12000000017</v>
      </c>
      <c r="V9" s="70">
        <f>VLOOKUP($B9,[1]Sheet7!$H$2:$M$93,2,0)</f>
        <v>23142.239999999983</v>
      </c>
      <c r="W9" s="70">
        <f>VLOOKUP($B9,[1]Sheet7!$H$2:$M$93,3,0)</f>
        <v>0</v>
      </c>
      <c r="X9" s="71">
        <f>VLOOKUP($B9,[1]Sheet8!$D$2:$E$93,2,0)</f>
        <v>2064</v>
      </c>
      <c r="Y9" s="71">
        <f>VLOOKUP($B9,[1]Sheet8!$P$3:$Q$94,2,0)</f>
        <v>3106</v>
      </c>
      <c r="Z9" s="71">
        <f>VLOOKUP($B9,[1]Sheet8!$J$3:$K$94,2,0)</f>
        <v>587</v>
      </c>
      <c r="AA9" s="71">
        <f>VLOOKUP($B9,[1]Sheet7!$H$2:$M$93,6,0)</f>
        <v>38220</v>
      </c>
      <c r="AB9" s="57">
        <v>3737.9842857142899</v>
      </c>
      <c r="AC9" s="57">
        <v>4138.7785043088697</v>
      </c>
      <c r="AD9" s="76">
        <v>0.107222018060997</v>
      </c>
      <c r="AE9" s="57">
        <f t="shared" si="4"/>
        <v>4552.6563547397573</v>
      </c>
      <c r="AF9" s="75">
        <v>1.1000000000000001</v>
      </c>
      <c r="AG9" s="77">
        <f>VLOOKUP($B9,[2]Sheet1!$E$2:$I$96,4,0)</f>
        <v>3217</v>
      </c>
      <c r="AH9" s="77">
        <f>VLOOKUP($B9,[2]Sheet1!$E$2:$I$96,5,0)</f>
        <v>484</v>
      </c>
      <c r="AI9" s="77">
        <f t="shared" si="5"/>
        <v>22519</v>
      </c>
      <c r="AJ9" s="61">
        <f t="shared" si="6"/>
        <v>3388</v>
      </c>
      <c r="AK9" s="61">
        <f>VLOOKUP(B9,[2]Sheet9!$D$2:$F$94,3,0)</f>
        <v>239</v>
      </c>
      <c r="AL9" s="61">
        <f>VLOOKUP(B9,[2]Sheet9!$J$3:$L$95,3,0)</f>
        <v>58</v>
      </c>
      <c r="AM9" s="61">
        <f>VLOOKUP(B9,[2]Sheet9!$P$3:$R$95,3,0)</f>
        <v>210</v>
      </c>
      <c r="AN9" s="70">
        <f t="shared" si="7"/>
        <v>68409.597180972458</v>
      </c>
      <c r="AO9" s="71">
        <f t="shared" si="8"/>
        <v>8551.1996476215572</v>
      </c>
      <c r="AP9" s="71">
        <f t="shared" si="9"/>
        <v>-121.14285714285711</v>
      </c>
      <c r="AQ9" s="71">
        <f t="shared" si="10"/>
        <v>-241.28571428571428</v>
      </c>
      <c r="AR9" s="71">
        <f t="shared" si="11"/>
        <v>-394</v>
      </c>
      <c r="AS9" s="61" t="str">
        <f t="shared" si="12"/>
        <v>Out of Stock Risk</v>
      </c>
      <c r="AT9" s="57">
        <v>27368.272655783701</v>
      </c>
      <c r="AU9" s="57">
        <f t="shared" si="13"/>
        <v>28971.449530162088</v>
      </c>
      <c r="AV9" s="57">
        <f t="shared" si="14"/>
        <v>24454.734859048625</v>
      </c>
      <c r="AW9" s="57">
        <v>28971.449530162099</v>
      </c>
      <c r="AX9" s="57">
        <f>AI9*1.22</f>
        <v>27473.18</v>
      </c>
      <c r="AY9" s="61">
        <f t="shared" si="15"/>
        <v>3421.0340819729627</v>
      </c>
      <c r="AZ9" s="61">
        <f>IFERROR(VLOOKUP(B9,[3]Sheet2!$E$4:$F$17,2,0),0)</f>
        <v>0</v>
      </c>
      <c r="BA9" s="61">
        <f>AU9/8</f>
        <v>3621.431191270261</v>
      </c>
      <c r="BB9" s="61">
        <f t="shared" si="29"/>
        <v>3056.8418573810782</v>
      </c>
      <c r="BC9" s="61">
        <f t="shared" si="30"/>
        <v>3621.4311912702624</v>
      </c>
      <c r="BD9" s="61">
        <f t="shared" si="31"/>
        <v>3434.1475</v>
      </c>
      <c r="BE9" s="61">
        <f t="shared" si="17"/>
        <v>570.17234699549374</v>
      </c>
      <c r="BF9" s="61">
        <f t="shared" si="18"/>
        <v>603.57186521171013</v>
      </c>
      <c r="BG9" s="61">
        <f t="shared" si="19"/>
        <v>509.47364289684634</v>
      </c>
      <c r="BH9" s="61">
        <f t="shared" si="20"/>
        <v>603.57186521171036</v>
      </c>
      <c r="BI9" s="61">
        <f t="shared" si="21"/>
        <v>572.35791666666671</v>
      </c>
      <c r="BJ9" s="61">
        <f t="shared" si="22"/>
        <v>2.8508617349774688</v>
      </c>
      <c r="BK9" s="61">
        <f t="shared" si="23"/>
        <v>3.0178593260585509</v>
      </c>
      <c r="BL9" s="61">
        <f t="shared" si="24"/>
        <v>2.5473682144842318</v>
      </c>
      <c r="BM9" s="61">
        <f t="shared" si="25"/>
        <v>3.0178593260585518</v>
      </c>
      <c r="BN9" s="61">
        <f t="shared" si="26"/>
        <v>2.8617895833333336</v>
      </c>
      <c r="BO9">
        <f t="shared" si="27"/>
        <v>283111.22287446191</v>
      </c>
      <c r="BP9" s="42">
        <f t="shared" si="28"/>
        <v>3434.1475</v>
      </c>
      <c r="BQ9" s="42">
        <f>ROUNDUP(AK9,-1)-100</f>
        <v>140</v>
      </c>
      <c r="BR9" s="42">
        <f>ROUNDUP(AL9,-1)-50</f>
        <v>10</v>
      </c>
      <c r="BS9" s="42">
        <f>ROUNDUP(AM9,-1)</f>
        <v>210</v>
      </c>
      <c r="BT9">
        <f>VLOOKUP($B9,'[4]Food Monitor'!$A$4:$AD$95,16,0)</f>
        <v>230</v>
      </c>
      <c r="BU9">
        <f>VLOOKUP($B9,'[4]Food Monitor'!$A$4:$AD$95,27,0)</f>
        <v>190</v>
      </c>
    </row>
    <row r="10" spans="1:73" ht="16.5" hidden="1">
      <c r="A10" s="51" t="s">
        <v>105</v>
      </c>
      <c r="B10" s="51" t="s">
        <v>126</v>
      </c>
      <c r="C10" s="52" t="s">
        <v>127</v>
      </c>
      <c r="D10" s="51" t="s">
        <v>20</v>
      </c>
      <c r="E10" s="59" t="s">
        <v>20</v>
      </c>
      <c r="F10" s="59" t="s">
        <v>108</v>
      </c>
      <c r="G10" s="63">
        <v>390.09969699999903</v>
      </c>
      <c r="H10" s="61" t="s">
        <v>116</v>
      </c>
      <c r="I10" s="61" t="s">
        <v>128</v>
      </c>
      <c r="J10" s="70">
        <v>383888.11</v>
      </c>
      <c r="K10" s="70">
        <f t="shared" si="0"/>
        <v>509371.460000008</v>
      </c>
      <c r="L10" s="71">
        <f t="shared" si="1"/>
        <v>42.829853841164244</v>
      </c>
      <c r="M10" s="71">
        <v>1980</v>
      </c>
      <c r="N10" s="71">
        <v>720</v>
      </c>
      <c r="O10" s="71">
        <v>3168</v>
      </c>
      <c r="P10" s="51">
        <f t="shared" si="2"/>
        <v>20</v>
      </c>
      <c r="Q10" s="73">
        <v>45191</v>
      </c>
      <c r="R10" s="73">
        <v>45211</v>
      </c>
      <c r="S10" s="70">
        <f>VLOOKUP(B10,[1]Sheet7!$H$2:$M$93,5,0)</f>
        <v>603003.13999999815</v>
      </c>
      <c r="T10" s="71">
        <f t="shared" si="3"/>
        <v>95.381705156595729</v>
      </c>
      <c r="U10" s="70">
        <f>VLOOKUP($B10,[1]Sheet7!$H$2:$M$93,4,0)</f>
        <v>527408.20999999775</v>
      </c>
      <c r="V10" s="70">
        <f>VLOOKUP($B10,[1]Sheet7!$H$2:$M$93,2,0)</f>
        <v>75893.609999999855</v>
      </c>
      <c r="W10" s="70">
        <f>VLOOKUP($B10,[1]Sheet7!$H$2:$M$93,3,0)</f>
        <v>0</v>
      </c>
      <c r="X10" s="71">
        <f>VLOOKUP($B10,[1]Sheet8!$D$2:$E$93,2,0)</f>
        <v>2718</v>
      </c>
      <c r="Y10" s="71">
        <f>VLOOKUP($B10,[1]Sheet8!$P$3:$Q$94,2,0)</f>
        <v>5967</v>
      </c>
      <c r="Z10" s="71">
        <f>VLOOKUP($B10,[1]Sheet8!$J$3:$K$94,2,0)</f>
        <v>871</v>
      </c>
      <c r="AA10" s="71">
        <f>VLOOKUP($B10,[1]Sheet7!$H$2:$M$93,6,0)</f>
        <v>75794</v>
      </c>
      <c r="AB10" s="57">
        <v>8963.0964285720001</v>
      </c>
      <c r="AC10" s="57">
        <v>8963.0964285720001</v>
      </c>
      <c r="AD10" s="75">
        <v>0</v>
      </c>
      <c r="AE10" s="57">
        <f t="shared" si="4"/>
        <v>9859.4060714292009</v>
      </c>
      <c r="AF10" s="75">
        <v>1.1000000000000001</v>
      </c>
      <c r="AG10" s="77">
        <f>VLOOKUP($B10,[2]Sheet1!$E$2:$I$96,4,0)</f>
        <v>6322</v>
      </c>
      <c r="AH10" s="77">
        <f>VLOOKUP($B10,[2]Sheet1!$E$2:$I$96,5,0)</f>
        <v>967</v>
      </c>
      <c r="AI10" s="77">
        <f t="shared" si="5"/>
        <v>44254</v>
      </c>
      <c r="AJ10" s="61">
        <f t="shared" si="6"/>
        <v>6769</v>
      </c>
      <c r="AK10" s="61">
        <f>VLOOKUP(B10,[2]Sheet9!$D$2:$F$94,3,0)</f>
        <v>306</v>
      </c>
      <c r="AL10" s="61">
        <f>VLOOKUP(B10,[2]Sheet9!$J$3:$L$95,3,0)</f>
        <v>62</v>
      </c>
      <c r="AM10" s="61">
        <f>VLOOKUP(B10,[2]Sheet9!$P$3:$R$95,3,0)</f>
        <v>403</v>
      </c>
      <c r="AN10" s="70">
        <f t="shared" si="7"/>
        <v>157335.02000002586</v>
      </c>
      <c r="AO10" s="71">
        <f t="shared" si="8"/>
        <v>19666.877500003233</v>
      </c>
      <c r="AP10" s="71">
        <f t="shared" si="9"/>
        <v>136.28571428571422</v>
      </c>
      <c r="AQ10" s="71">
        <f t="shared" si="10"/>
        <v>26.14285714285711</v>
      </c>
      <c r="AR10" s="71">
        <f t="shared" si="11"/>
        <v>-1647.5714285714284</v>
      </c>
      <c r="AS10" s="61" t="str">
        <f t="shared" si="12"/>
        <v>Out of Stock Risk</v>
      </c>
      <c r="AT10" s="57">
        <v>62741.675000003997</v>
      </c>
      <c r="AU10" s="57">
        <f t="shared" si="13"/>
        <v>62741.675000004005</v>
      </c>
      <c r="AV10" s="57">
        <f t="shared" si="14"/>
        <v>49800.302500001198</v>
      </c>
      <c r="AW10" s="57">
        <v>62741.675000003997</v>
      </c>
      <c r="AX10" s="57">
        <f>AI10*0.4+AC10*7*0.6</f>
        <v>55346.605000002397</v>
      </c>
      <c r="AY10" s="61">
        <f t="shared" si="15"/>
        <v>7842.7093750004997</v>
      </c>
      <c r="AZ10" s="61">
        <f>IFERROR(VLOOKUP(B10,[3]Sheet2!$E$4:$F$17,2,0),0)</f>
        <v>2606</v>
      </c>
      <c r="BA10" s="61">
        <f>AU10/8-AZ10</f>
        <v>5236.7093750005006</v>
      </c>
      <c r="BB10" s="61">
        <f t="shared" si="29"/>
        <v>6225.0378125001498</v>
      </c>
      <c r="BC10" s="61">
        <f t="shared" si="30"/>
        <v>7842.7093750004997</v>
      </c>
      <c r="BD10" s="61">
        <f t="shared" si="31"/>
        <v>6918.3256250002996</v>
      </c>
      <c r="BE10" s="61">
        <f t="shared" si="17"/>
        <v>1307.1182291667499</v>
      </c>
      <c r="BF10" s="61">
        <f t="shared" si="18"/>
        <v>872.78489583341673</v>
      </c>
      <c r="BG10" s="61">
        <f t="shared" si="19"/>
        <v>1037.5063020833584</v>
      </c>
      <c r="BH10" s="61">
        <f t="shared" si="20"/>
        <v>1307.1182291667499</v>
      </c>
      <c r="BI10" s="61">
        <f t="shared" si="21"/>
        <v>718.7209375000499</v>
      </c>
      <c r="BJ10" s="61">
        <f t="shared" si="22"/>
        <v>6.5355911458337497</v>
      </c>
      <c r="BK10" s="61">
        <f t="shared" si="23"/>
        <v>4.3639244791670837</v>
      </c>
      <c r="BL10" s="61">
        <f t="shared" si="24"/>
        <v>5.1875315104167914</v>
      </c>
      <c r="BM10" s="61">
        <f t="shared" si="25"/>
        <v>6.5355911458337497</v>
      </c>
      <c r="BN10" s="61">
        <f t="shared" si="26"/>
        <v>3.5936046875002496</v>
      </c>
      <c r="BO10">
        <f t="shared" si="27"/>
        <v>546814.31178570585</v>
      </c>
      <c r="BP10" s="42">
        <f t="shared" si="28"/>
        <v>4312.3256250002996</v>
      </c>
      <c r="BQ10" s="42">
        <f>ROUNDUP(AK10,-1)-50</f>
        <v>260</v>
      </c>
      <c r="BR10" s="42">
        <f>ROUNDUP(AL10,-1)</f>
        <v>70</v>
      </c>
      <c r="BS10" s="42">
        <f>ROUNDUP(AM10,-1)-100</f>
        <v>310</v>
      </c>
      <c r="BT10">
        <f>VLOOKUP($B10,'[4]Food Monitor'!$A$4:$AD$95,16,0)</f>
        <v>500</v>
      </c>
      <c r="BU10">
        <f>VLOOKUP($B10,'[4]Food Monitor'!$A$4:$AD$95,27,0)</f>
        <v>50</v>
      </c>
    </row>
    <row r="11" spans="1:73" ht="16.5" hidden="1">
      <c r="A11" s="51" t="s">
        <v>105</v>
      </c>
      <c r="B11" s="51" t="s">
        <v>129</v>
      </c>
      <c r="C11" s="52" t="s">
        <v>130</v>
      </c>
      <c r="D11" s="51" t="s">
        <v>20</v>
      </c>
      <c r="E11" s="59" t="s">
        <v>20</v>
      </c>
      <c r="F11" s="59" t="s">
        <v>108</v>
      </c>
      <c r="G11" s="63">
        <v>428.18992700000001</v>
      </c>
      <c r="H11" s="61" t="s">
        <v>116</v>
      </c>
      <c r="I11" s="61" t="s">
        <v>113</v>
      </c>
      <c r="J11" s="70">
        <v>397034.27</v>
      </c>
      <c r="K11" s="70">
        <f t="shared" si="0"/>
        <v>528110.72000000894</v>
      </c>
      <c r="L11" s="71">
        <f t="shared" si="1"/>
        <v>42.406395504300129</v>
      </c>
      <c r="M11" s="71">
        <v>3240</v>
      </c>
      <c r="N11" s="71">
        <v>270</v>
      </c>
      <c r="O11" s="71">
        <v>3168</v>
      </c>
      <c r="P11" s="51">
        <f t="shared" si="2"/>
        <v>20</v>
      </c>
      <c r="Q11" s="73">
        <v>45191</v>
      </c>
      <c r="R11" s="73">
        <v>45211</v>
      </c>
      <c r="S11" s="70">
        <f>VLOOKUP(B11,[1]Sheet7!$H$2:$M$93,5,0)</f>
        <v>662664.36999999976</v>
      </c>
      <c r="T11" s="71">
        <f t="shared" si="3"/>
        <v>99.798850903614422</v>
      </c>
      <c r="U11" s="70">
        <f>VLOOKUP($B11,[1]Sheet7!$H$2:$M$93,4,0)</f>
        <v>583615.00999999989</v>
      </c>
      <c r="V11" s="70">
        <f>VLOOKUP($B11,[1]Sheet7!$H$2:$M$93,2,0)</f>
        <v>79246.029999999941</v>
      </c>
      <c r="W11" s="70">
        <f>VLOOKUP($B11,[1]Sheet7!$H$2:$M$93,3,0)</f>
        <v>0</v>
      </c>
      <c r="X11" s="71">
        <f>VLOOKUP($B11,[1]Sheet8!$D$2:$E$93,2,0)</f>
        <v>4238</v>
      </c>
      <c r="Y11" s="71">
        <f>VLOOKUP($B11,[1]Sheet8!$P$3:$Q$94,2,0)</f>
        <v>5595</v>
      </c>
      <c r="Z11" s="71">
        <f>VLOOKUP($B11,[1]Sheet8!$J$3:$K$94,2,0)</f>
        <v>798</v>
      </c>
      <c r="AA11" s="71">
        <f>VLOOKUP($B11,[1]Sheet7!$H$2:$M$93,6,0)</f>
        <v>87774</v>
      </c>
      <c r="AB11" s="57">
        <v>9362.6035714292102</v>
      </c>
      <c r="AC11" s="57">
        <v>11544.2228417653</v>
      </c>
      <c r="AD11" s="76">
        <v>0.233014166806497</v>
      </c>
      <c r="AE11" s="57">
        <f t="shared" si="4"/>
        <v>12698.645125941832</v>
      </c>
      <c r="AF11" s="75">
        <v>1.1000000000000001</v>
      </c>
      <c r="AG11" s="77">
        <f>VLOOKUP($B11,[2]Sheet1!$E$2:$I$96,4,0)</f>
        <v>6640</v>
      </c>
      <c r="AH11" s="77">
        <f>VLOOKUP($B11,[2]Sheet1!$E$2:$I$96,5,0)</f>
        <v>975</v>
      </c>
      <c r="AI11" s="77">
        <f t="shared" si="5"/>
        <v>46480</v>
      </c>
      <c r="AJ11" s="61">
        <f t="shared" si="6"/>
        <v>6825</v>
      </c>
      <c r="AK11" s="61">
        <f>VLOOKUP(B11,[2]Sheet9!$D$2:$F$94,3,0)</f>
        <v>331</v>
      </c>
      <c r="AL11" s="61">
        <f>VLOOKUP(B11,[2]Sheet9!$J$3:$L$95,3,0)</f>
        <v>121</v>
      </c>
      <c r="AM11" s="61">
        <f>VLOOKUP(B11,[2]Sheet9!$P$3:$R$95,3,0)</f>
        <v>306</v>
      </c>
      <c r="AN11" s="70">
        <f t="shared" si="7"/>
        <v>219227.25935414282</v>
      </c>
      <c r="AO11" s="71">
        <f t="shared" si="8"/>
        <v>27403.407419267853</v>
      </c>
      <c r="AP11" s="71">
        <f t="shared" si="9"/>
        <v>-52.285714285714675</v>
      </c>
      <c r="AQ11" s="71">
        <f t="shared" si="10"/>
        <v>-182.28571428571422</v>
      </c>
      <c r="AR11" s="71">
        <f t="shared" si="11"/>
        <v>-1552.7142857142858</v>
      </c>
      <c r="AS11" s="61" t="str">
        <f t="shared" si="12"/>
        <v>Out of Stock Risk</v>
      </c>
      <c r="AT11" s="57">
        <v>72083.082811012806</v>
      </c>
      <c r="AU11" s="57">
        <f t="shared" si="13"/>
        <v>80809.559892357109</v>
      </c>
      <c r="AV11" s="57">
        <f t="shared" si="14"/>
        <v>56778.867967707127</v>
      </c>
      <c r="AW11" s="57">
        <v>80809.559892357298</v>
      </c>
      <c r="AX11" s="57">
        <f>AI11*1.2</f>
        <v>55776</v>
      </c>
      <c r="AY11" s="61">
        <f t="shared" si="15"/>
        <v>9010.3853513766007</v>
      </c>
      <c r="AZ11" s="61">
        <f>IFERROR(VLOOKUP(B11,[3]Sheet2!$E$4:$F$17,2,0),0)</f>
        <v>2399</v>
      </c>
      <c r="BA11" s="61">
        <f>AU11/8-AZ11</f>
        <v>7702.1949865446386</v>
      </c>
      <c r="BB11" s="61">
        <f t="shared" si="29"/>
        <v>7097.3584959633909</v>
      </c>
      <c r="BC11" s="61">
        <f t="shared" si="30"/>
        <v>10101.194986544662</v>
      </c>
      <c r="BD11" s="61">
        <f t="shared" si="31"/>
        <v>6972</v>
      </c>
      <c r="BE11" s="61">
        <f t="shared" si="17"/>
        <v>1501.7308918961</v>
      </c>
      <c r="BF11" s="61">
        <f t="shared" si="18"/>
        <v>1283.6991644241064</v>
      </c>
      <c r="BG11" s="61">
        <f t="shared" si="19"/>
        <v>1182.8930826605651</v>
      </c>
      <c r="BH11" s="61">
        <f t="shared" si="20"/>
        <v>1683.5324977574437</v>
      </c>
      <c r="BI11" s="61">
        <f t="shared" si="21"/>
        <v>762.16666666666663</v>
      </c>
      <c r="BJ11" s="61">
        <f t="shared" si="22"/>
        <v>7.5086544594805007</v>
      </c>
      <c r="BK11" s="61">
        <f t="shared" si="23"/>
        <v>6.4184958221205326</v>
      </c>
      <c r="BL11" s="61">
        <f t="shared" si="24"/>
        <v>5.9144654133028256</v>
      </c>
      <c r="BM11" s="61">
        <f t="shared" si="25"/>
        <v>8.4176624887872187</v>
      </c>
      <c r="BN11" s="61">
        <f t="shared" si="26"/>
        <v>3.8108333333333335</v>
      </c>
      <c r="BO11">
        <f t="shared" si="27"/>
        <v>578331.32316761208</v>
      </c>
      <c r="BP11" s="42">
        <f t="shared" si="28"/>
        <v>4573</v>
      </c>
      <c r="BQ11" s="42">
        <f>ROUNDUP(AK11,-1)-50</f>
        <v>290</v>
      </c>
      <c r="BR11" s="42">
        <f>ROUNDUP(AL11,-1)-50</f>
        <v>80</v>
      </c>
      <c r="BS11" s="42">
        <f>ROUNDUP(AM11,-1)-100</f>
        <v>210</v>
      </c>
      <c r="BT11">
        <f>VLOOKUP($B11,'[4]Food Monitor'!$A$4:$AD$95,16,0)</f>
        <v>600</v>
      </c>
      <c r="BU11">
        <f>VLOOKUP($B11,'[4]Food Monitor'!$A$4:$AD$95,27,0)</f>
        <v>260</v>
      </c>
    </row>
    <row r="12" spans="1:73" ht="16.5" hidden="1">
      <c r="A12" s="51" t="s">
        <v>105</v>
      </c>
      <c r="B12" s="51" t="s">
        <v>131</v>
      </c>
      <c r="C12" s="52" t="s">
        <v>132</v>
      </c>
      <c r="D12" s="51" t="s">
        <v>20</v>
      </c>
      <c r="E12" s="59" t="s">
        <v>20</v>
      </c>
      <c r="F12" s="59" t="s">
        <v>108</v>
      </c>
      <c r="G12" s="63">
        <v>323.20953700000001</v>
      </c>
      <c r="H12" s="61" t="s">
        <v>109</v>
      </c>
      <c r="I12" s="61" t="s">
        <v>110</v>
      </c>
      <c r="J12" s="70">
        <v>249264.48</v>
      </c>
      <c r="K12" s="70">
        <f t="shared" si="0"/>
        <v>317001.51999999973</v>
      </c>
      <c r="L12" s="71">
        <f t="shared" si="1"/>
        <v>51.518382261758333</v>
      </c>
      <c r="M12" s="71">
        <v>1080</v>
      </c>
      <c r="N12" s="71">
        <v>630</v>
      </c>
      <c r="O12" s="71">
        <v>2112</v>
      </c>
      <c r="P12" s="51">
        <f t="shared" si="2"/>
        <v>20</v>
      </c>
      <c r="Q12" s="73">
        <v>45191</v>
      </c>
      <c r="R12" s="73">
        <v>45211</v>
      </c>
      <c r="S12" s="70">
        <f>VLOOKUP(B12,[1]Sheet7!$H$2:$M$93,5,0)</f>
        <v>371931.0799999985</v>
      </c>
      <c r="T12" s="71">
        <f t="shared" si="3"/>
        <v>98.160749538136315</v>
      </c>
      <c r="U12" s="70">
        <f>VLOOKUP($B12,[1]Sheet7!$H$2:$M$93,4,0)</f>
        <v>348564.78999999806</v>
      </c>
      <c r="V12" s="70">
        <f>VLOOKUP($B12,[1]Sheet7!$H$2:$M$93,2,0)</f>
        <v>23850.489999999987</v>
      </c>
      <c r="W12" s="70">
        <f>VLOOKUP($B12,[1]Sheet7!$H$2:$M$93,3,0)</f>
        <v>0</v>
      </c>
      <c r="X12" s="71">
        <f>VLOOKUP($B12,[1]Sheet8!$D$2:$E$93,2,0)</f>
        <v>2060</v>
      </c>
      <c r="Y12" s="71">
        <f>VLOOKUP($B12,[1]Sheet8!$P$3:$Q$94,2,0)</f>
        <v>3876</v>
      </c>
      <c r="Z12" s="71">
        <f>VLOOKUP($B12,[1]Sheet8!$J$3:$K$94,2,0)</f>
        <v>361</v>
      </c>
      <c r="AA12" s="71">
        <f>VLOOKUP($B12,[1]Sheet7!$H$2:$M$93,6,0)</f>
        <v>49938</v>
      </c>
      <c r="AB12" s="57">
        <v>4838.3599999999797</v>
      </c>
      <c r="AC12" s="57">
        <v>4854.8306557905098</v>
      </c>
      <c r="AD12" s="76">
        <v>3.4041815388956599E-3</v>
      </c>
      <c r="AE12" s="57">
        <f t="shared" si="4"/>
        <v>5340.3137213695609</v>
      </c>
      <c r="AF12" s="75">
        <v>1.1000000000000001</v>
      </c>
      <c r="AG12" s="77">
        <f>VLOOKUP($B12,[2]Sheet1!$E$2:$I$96,4,0)</f>
        <v>3789</v>
      </c>
      <c r="AH12" s="77">
        <f>VLOOKUP($B12,[2]Sheet1!$E$2:$I$96,5,0)</f>
        <v>540</v>
      </c>
      <c r="AI12" s="77">
        <f t="shared" si="5"/>
        <v>26523</v>
      </c>
      <c r="AJ12" s="61">
        <f t="shared" si="6"/>
        <v>3780</v>
      </c>
      <c r="AK12" s="61">
        <f>VLOOKUP(B12,[2]Sheet9!$D$2:$F$94,3,0)</f>
        <v>193</v>
      </c>
      <c r="AL12" s="61">
        <f>VLOOKUP(B12,[2]Sheet9!$J$3:$L$95,3,0)</f>
        <v>53</v>
      </c>
      <c r="AM12" s="61">
        <f>VLOOKUP(B12,[2]Sheet9!$P$3:$R$95,3,0)</f>
        <v>275</v>
      </c>
      <c r="AN12" s="70">
        <f t="shared" si="7"/>
        <v>81236.287543202925</v>
      </c>
      <c r="AO12" s="71">
        <f t="shared" si="8"/>
        <v>10154.535942900366</v>
      </c>
      <c r="AP12" s="71">
        <f t="shared" si="9"/>
        <v>-428.57142857142844</v>
      </c>
      <c r="AQ12" s="71">
        <f t="shared" si="10"/>
        <v>420.42857142857144</v>
      </c>
      <c r="AR12" s="71">
        <f t="shared" si="11"/>
        <v>-978.28571428571422</v>
      </c>
      <c r="AS12" s="61" t="str">
        <f t="shared" si="12"/>
        <v>Out of Stock Risk</v>
      </c>
      <c r="AT12" s="57">
        <v>33917.931967371398</v>
      </c>
      <c r="AU12" s="57">
        <f t="shared" si="13"/>
        <v>33983.81459053357</v>
      </c>
      <c r="AV12" s="57">
        <f t="shared" si="14"/>
        <v>28761.24437716007</v>
      </c>
      <c r="AW12" s="57">
        <v>33983.814590533599</v>
      </c>
      <c r="AX12" s="57">
        <f>AI12*0.4+AC12*7*0.6</f>
        <v>30999.48875432014</v>
      </c>
      <c r="AY12" s="61">
        <f t="shared" si="15"/>
        <v>4239.7414959214248</v>
      </c>
      <c r="AZ12" s="61">
        <f>IFERROR(VLOOKUP(B12,[3]Sheet2!$E$4:$F$17,2,0),0)</f>
        <v>0</v>
      </c>
      <c r="BA12" s="61">
        <f>AU12/8</f>
        <v>4247.9768238166962</v>
      </c>
      <c r="BB12" s="61">
        <f t="shared" si="29"/>
        <v>3595.1555471450088</v>
      </c>
      <c r="BC12" s="61">
        <f t="shared" si="30"/>
        <v>4247.9768238166998</v>
      </c>
      <c r="BD12" s="61">
        <f t="shared" si="31"/>
        <v>3874.9360942900175</v>
      </c>
      <c r="BE12" s="61">
        <f t="shared" si="17"/>
        <v>706.62358265357079</v>
      </c>
      <c r="BF12" s="61">
        <f t="shared" si="18"/>
        <v>707.9961373027827</v>
      </c>
      <c r="BG12" s="61">
        <f t="shared" si="19"/>
        <v>599.19259119083483</v>
      </c>
      <c r="BH12" s="61">
        <f t="shared" si="20"/>
        <v>707.99613730278327</v>
      </c>
      <c r="BI12" s="61">
        <f t="shared" si="21"/>
        <v>645.82268238166955</v>
      </c>
      <c r="BJ12" s="61">
        <f t="shared" si="22"/>
        <v>3.5331179132678541</v>
      </c>
      <c r="BK12" s="61">
        <f t="shared" si="23"/>
        <v>3.5399806865139136</v>
      </c>
      <c r="BL12" s="61">
        <f t="shared" si="24"/>
        <v>2.9959629559541741</v>
      </c>
      <c r="BM12" s="61">
        <f t="shared" si="25"/>
        <v>3.5399806865139167</v>
      </c>
      <c r="BN12" s="61">
        <f t="shared" si="26"/>
        <v>3.2291134119083478</v>
      </c>
      <c r="BO12">
        <f t="shared" si="27"/>
        <v>344387.21460620209</v>
      </c>
      <c r="BP12" s="42">
        <f t="shared" si="28"/>
        <v>3874.9360942900175</v>
      </c>
      <c r="BQ12" s="42">
        <f>ROUNDUP(AK12,-1)-100</f>
        <v>100</v>
      </c>
      <c r="BR12" s="42">
        <f>ROUNDUP(AL12,-1)</f>
        <v>60</v>
      </c>
      <c r="BS12" s="42">
        <f>ROUNDUP(AM12,-1)-100</f>
        <v>180</v>
      </c>
      <c r="BT12">
        <f>VLOOKUP($B12,'[4]Food Monitor'!$A$4:$AD$95,16,0)</f>
        <v>400</v>
      </c>
      <c r="BU12">
        <f>VLOOKUP($B12,'[4]Food Monitor'!$A$4:$AD$95,27,0)</f>
        <v>180</v>
      </c>
    </row>
    <row r="13" spans="1:73" ht="16.5" hidden="1">
      <c r="A13" s="51" t="s">
        <v>105</v>
      </c>
      <c r="B13" s="51" t="s">
        <v>133</v>
      </c>
      <c r="C13" s="52" t="s">
        <v>134</v>
      </c>
      <c r="D13" s="51" t="s">
        <v>20</v>
      </c>
      <c r="E13" s="59" t="s">
        <v>20</v>
      </c>
      <c r="F13" s="59" t="s">
        <v>108</v>
      </c>
      <c r="G13" s="63">
        <v>460.055656</v>
      </c>
      <c r="H13" s="61" t="s">
        <v>109</v>
      </c>
      <c r="I13" s="61" t="s">
        <v>110</v>
      </c>
      <c r="J13" s="70">
        <v>188389.07</v>
      </c>
      <c r="K13" s="70">
        <f t="shared" si="0"/>
        <v>231081.21000000054</v>
      </c>
      <c r="L13" s="71">
        <f t="shared" si="1"/>
        <v>61.778280030000062</v>
      </c>
      <c r="M13" s="71">
        <v>1620</v>
      </c>
      <c r="N13" s="71">
        <v>630</v>
      </c>
      <c r="O13" s="71">
        <v>2112</v>
      </c>
      <c r="P13" s="51">
        <f t="shared" si="2"/>
        <v>20</v>
      </c>
      <c r="Q13" s="73">
        <v>45191</v>
      </c>
      <c r="R13" s="73">
        <v>45211</v>
      </c>
      <c r="S13" s="70">
        <f>VLOOKUP(B13,[1]Sheet7!$H$2:$M$93,5,0)</f>
        <v>335977.60999999935</v>
      </c>
      <c r="T13" s="71">
        <f t="shared" si="3"/>
        <v>129.6710189116169</v>
      </c>
      <c r="U13" s="70">
        <f>VLOOKUP($B13,[1]Sheet7!$H$2:$M$93,4,0)</f>
        <v>313051.59999999905</v>
      </c>
      <c r="V13" s="70">
        <f>VLOOKUP($B13,[1]Sheet7!$H$2:$M$93,2,0)</f>
        <v>22869.659999999971</v>
      </c>
      <c r="W13" s="70">
        <f>VLOOKUP($B13,[1]Sheet7!$H$2:$M$93,3,0)</f>
        <v>0</v>
      </c>
      <c r="X13" s="71">
        <f>VLOOKUP($B13,[1]Sheet8!$D$2:$E$93,2,0)</f>
        <v>1841</v>
      </c>
      <c r="Y13" s="71">
        <f>VLOOKUP($B13,[1]Sheet8!$P$3:$Q$94,2,0)</f>
        <v>2972</v>
      </c>
      <c r="Z13" s="71">
        <f>VLOOKUP($B13,[1]Sheet8!$J$3:$K$94,2,0)</f>
        <v>456</v>
      </c>
      <c r="AA13" s="71">
        <f>VLOOKUP($B13,[1]Sheet7!$H$2:$M$93,6,0)</f>
        <v>41403</v>
      </c>
      <c r="AB13" s="57">
        <v>3049.43857142861</v>
      </c>
      <c r="AC13" s="57">
        <v>3198.3847214156399</v>
      </c>
      <c r="AD13" s="76">
        <v>4.8843794192990897E-2</v>
      </c>
      <c r="AE13" s="57">
        <f t="shared" si="4"/>
        <v>3518.223193557204</v>
      </c>
      <c r="AF13" s="75">
        <v>1.1000000000000001</v>
      </c>
      <c r="AG13" s="77">
        <f>VLOOKUP($B13,[2]Sheet1!$E$2:$I$96,4,0)</f>
        <v>2591</v>
      </c>
      <c r="AH13" s="77">
        <f>VLOOKUP($B13,[2]Sheet1!$E$2:$I$96,5,0)</f>
        <v>395</v>
      </c>
      <c r="AI13" s="77">
        <f t="shared" si="5"/>
        <v>18137</v>
      </c>
      <c r="AJ13" s="61">
        <f t="shared" si="6"/>
        <v>2765</v>
      </c>
      <c r="AK13" s="61">
        <f>VLOOKUP(B13,[2]Sheet9!$D$2:$F$94,3,0)</f>
        <v>160</v>
      </c>
      <c r="AL13" s="61">
        <f>VLOOKUP(B13,[2]Sheet9!$J$3:$L$95,3,0)</f>
        <v>38</v>
      </c>
      <c r="AM13" s="61">
        <f>VLOOKUP(B13,[2]Sheet9!$P$3:$R$95,3,0)</f>
        <v>158</v>
      </c>
      <c r="AN13" s="70">
        <f t="shared" si="7"/>
        <v>-13256.381700542464</v>
      </c>
      <c r="AO13" s="71">
        <f t="shared" si="8"/>
        <v>0</v>
      </c>
      <c r="AP13" s="71">
        <f t="shared" si="9"/>
        <v>236.14285714285734</v>
      </c>
      <c r="AQ13" s="71">
        <f t="shared" si="10"/>
        <v>282.57142857142856</v>
      </c>
      <c r="AR13" s="71">
        <f t="shared" si="11"/>
        <v>-408.57142857142844</v>
      </c>
      <c r="AS13" s="61" t="str">
        <f t="shared" si="12"/>
        <v>Normal</v>
      </c>
      <c r="AT13" s="57">
        <v>21792.9084499614</v>
      </c>
      <c r="AU13" s="57">
        <f t="shared" si="13"/>
        <v>22388.693049909478</v>
      </c>
      <c r="AV13" s="57">
        <f t="shared" si="14"/>
        <v>19412.507914972841</v>
      </c>
      <c r="AW13" s="57">
        <v>22388.6930499095</v>
      </c>
      <c r="AX13" s="57">
        <f>AI13*1.3</f>
        <v>23578.100000000002</v>
      </c>
      <c r="AY13" s="61">
        <f t="shared" si="15"/>
        <v>2724.113556245175</v>
      </c>
      <c r="AZ13" s="61">
        <f>IFERROR(VLOOKUP(B13,[3]Sheet2!$E$4:$F$17,2,0),0)</f>
        <v>0</v>
      </c>
      <c r="BA13" s="61">
        <f>AU13/8</f>
        <v>2798.5866312386847</v>
      </c>
      <c r="BB13" s="61">
        <f t="shared" si="29"/>
        <v>2426.5634893716051</v>
      </c>
      <c r="BC13" s="61">
        <f t="shared" si="30"/>
        <v>2798.5866312386875</v>
      </c>
      <c r="BD13" s="61">
        <f t="shared" si="31"/>
        <v>2947.2625000000003</v>
      </c>
      <c r="BE13" s="61">
        <f t="shared" si="17"/>
        <v>454.01892604086248</v>
      </c>
      <c r="BF13" s="61">
        <f t="shared" si="18"/>
        <v>466.43110520644746</v>
      </c>
      <c r="BG13" s="61">
        <f t="shared" si="19"/>
        <v>404.42724822860083</v>
      </c>
      <c r="BH13" s="61">
        <f t="shared" si="20"/>
        <v>466.43110520644791</v>
      </c>
      <c r="BI13" s="61">
        <f t="shared" si="21"/>
        <v>491.21041666666673</v>
      </c>
      <c r="BJ13" s="61">
        <f t="shared" si="22"/>
        <v>2.2700946302043126</v>
      </c>
      <c r="BK13" s="61">
        <f t="shared" si="23"/>
        <v>2.3321555260322371</v>
      </c>
      <c r="BL13" s="61">
        <f t="shared" si="24"/>
        <v>2.0221362411430044</v>
      </c>
      <c r="BM13" s="61">
        <f t="shared" si="25"/>
        <v>2.3321555260322397</v>
      </c>
      <c r="BN13" s="61">
        <f t="shared" si="26"/>
        <v>2.4560520833333337</v>
      </c>
      <c r="BO13">
        <f t="shared" si="27"/>
        <v>322142.02367942588</v>
      </c>
      <c r="BP13" s="42">
        <f t="shared" si="28"/>
        <v>2947.2625000000003</v>
      </c>
      <c r="BQ13" s="42">
        <f>ROUNDUP(AK13,-1)</f>
        <v>160</v>
      </c>
      <c r="BR13" s="42">
        <f>ROUNDUP(AL13,-1)</f>
        <v>40</v>
      </c>
      <c r="BS13" s="42">
        <f>ROUNDUP(AM13,-1)</f>
        <v>160</v>
      </c>
      <c r="BT13">
        <f>VLOOKUP($B13,'[4]Food Monitor'!$A$4:$AD$95,16,0)</f>
        <v>200</v>
      </c>
      <c r="BU13">
        <f>VLOOKUP($B13,'[4]Food Monitor'!$A$4:$AD$95,27,0)</f>
        <v>150</v>
      </c>
    </row>
    <row r="14" spans="1:73" ht="16.5" hidden="1">
      <c r="A14" s="51" t="s">
        <v>105</v>
      </c>
      <c r="B14" s="51" t="s">
        <v>135</v>
      </c>
      <c r="C14" s="52" t="s">
        <v>136</v>
      </c>
      <c r="D14" s="51" t="s">
        <v>20</v>
      </c>
      <c r="E14" s="59" t="s">
        <v>20</v>
      </c>
      <c r="F14" s="59" t="s">
        <v>108</v>
      </c>
      <c r="G14" s="63">
        <v>299.519272</v>
      </c>
      <c r="H14" s="61" t="s">
        <v>121</v>
      </c>
      <c r="I14" s="61" t="s">
        <v>113</v>
      </c>
      <c r="J14" s="70">
        <v>181714.85</v>
      </c>
      <c r="K14" s="70">
        <f t="shared" si="0"/>
        <v>212491.02000000115</v>
      </c>
      <c r="L14" s="71">
        <f t="shared" si="1"/>
        <v>82.661614489389166</v>
      </c>
      <c r="M14" s="71">
        <v>1530</v>
      </c>
      <c r="N14" s="71">
        <v>90</v>
      </c>
      <c r="O14" s="71">
        <v>1408</v>
      </c>
      <c r="P14" s="51">
        <f t="shared" si="2"/>
        <v>20</v>
      </c>
      <c r="Q14" s="73">
        <v>45191</v>
      </c>
      <c r="R14" s="73">
        <v>45211</v>
      </c>
      <c r="S14" s="70">
        <f>VLOOKUP(B14,[1]Sheet7!$H$2:$M$93,5,0)</f>
        <v>256569.6100000017</v>
      </c>
      <c r="T14" s="71">
        <f t="shared" si="3"/>
        <v>133.69964043772887</v>
      </c>
      <c r="U14" s="70">
        <f>VLOOKUP($B14,[1]Sheet7!$H$2:$M$93,4,0)</f>
        <v>242085.01000000164</v>
      </c>
      <c r="V14" s="70">
        <f>VLOOKUP($B14,[1]Sheet7!$H$2:$M$93,2,0)</f>
        <v>14356.630000000008</v>
      </c>
      <c r="W14" s="70">
        <f>VLOOKUP($B14,[1]Sheet7!$H$2:$M$93,3,0)</f>
        <v>0</v>
      </c>
      <c r="X14" s="71">
        <f>VLOOKUP($B14,[1]Sheet8!$D$2:$E$93,2,0)</f>
        <v>1932</v>
      </c>
      <c r="Y14" s="71">
        <f>VLOOKUP($B14,[1]Sheet8!$P$3:$Q$94,2,0)</f>
        <v>2301</v>
      </c>
      <c r="Z14" s="71">
        <f>VLOOKUP($B14,[1]Sheet8!$J$3:$K$94,2,0)</f>
        <v>363</v>
      </c>
      <c r="AA14" s="71">
        <f>VLOOKUP($B14,[1]Sheet7!$H$2:$M$93,6,0)</f>
        <v>33062</v>
      </c>
      <c r="AB14" s="57">
        <v>2198.2978571429398</v>
      </c>
      <c r="AC14" s="57">
        <v>2198.2978571429398</v>
      </c>
      <c r="AD14" s="75">
        <v>0</v>
      </c>
      <c r="AE14" s="57">
        <f t="shared" si="4"/>
        <v>2418.1276428572342</v>
      </c>
      <c r="AF14" s="75">
        <v>1.1000000000000001</v>
      </c>
      <c r="AG14" s="77">
        <f>VLOOKUP($B14,[2]Sheet1!$E$2:$I$96,4,0)</f>
        <v>1919</v>
      </c>
      <c r="AH14" s="77">
        <f>VLOOKUP($B14,[2]Sheet1!$E$2:$I$96,5,0)</f>
        <v>322</v>
      </c>
      <c r="AI14" s="77">
        <f t="shared" si="5"/>
        <v>13433</v>
      </c>
      <c r="AJ14" s="61">
        <f t="shared" si="6"/>
        <v>2254</v>
      </c>
      <c r="AK14" s="61">
        <f>VLOOKUP(B14,[2]Sheet9!$D$2:$F$94,3,0)</f>
        <v>129</v>
      </c>
      <c r="AL14" s="61">
        <f>VLOOKUP(B14,[2]Sheet9!$J$3:$L$95,3,0)</f>
        <v>27</v>
      </c>
      <c r="AM14" s="61">
        <f>VLOOKUP(B14,[2]Sheet9!$P$3:$R$95,3,0)</f>
        <v>145</v>
      </c>
      <c r="AN14" s="70">
        <f t="shared" si="7"/>
        <v>17473.750000001775</v>
      </c>
      <c r="AO14" s="71">
        <f t="shared" si="8"/>
        <v>2184.2187500002219</v>
      </c>
      <c r="AP14" s="71">
        <f t="shared" si="9"/>
        <v>-33.428571428571558</v>
      </c>
      <c r="AQ14" s="71">
        <f t="shared" si="10"/>
        <v>-195.85714285714286</v>
      </c>
      <c r="AR14" s="71">
        <f t="shared" si="11"/>
        <v>-478.71428571428578</v>
      </c>
      <c r="AS14" s="61" t="str">
        <f t="shared" si="12"/>
        <v>Out of Stock Risk</v>
      </c>
      <c r="AT14" s="57">
        <v>15388.085000000599</v>
      </c>
      <c r="AU14" s="57">
        <f t="shared" si="13"/>
        <v>15388.085000000579</v>
      </c>
      <c r="AV14" s="57">
        <f t="shared" si="14"/>
        <v>14019.525500000171</v>
      </c>
      <c r="AW14" s="57">
        <v>15388.085000000599</v>
      </c>
      <c r="AX14" s="57">
        <f>AI14*1.4</f>
        <v>18806.199999999997</v>
      </c>
      <c r="AY14" s="61">
        <f t="shared" si="15"/>
        <v>1923.5106250000749</v>
      </c>
      <c r="AZ14" s="61">
        <f>IFERROR(VLOOKUP(B14,[3]Sheet2!$E$4:$F$17,2,0),0)</f>
        <v>0</v>
      </c>
      <c r="BA14" s="61">
        <f>AU14/8</f>
        <v>1923.5106250000724</v>
      </c>
      <c r="BB14" s="61">
        <f t="shared" si="29"/>
        <v>1752.4406875000213</v>
      </c>
      <c r="BC14" s="61">
        <f t="shared" si="30"/>
        <v>1923.5106250000749</v>
      </c>
      <c r="BD14" s="61">
        <f t="shared" si="31"/>
        <v>2350.7749999999996</v>
      </c>
      <c r="BE14" s="61">
        <f t="shared" si="17"/>
        <v>320.58510416667917</v>
      </c>
      <c r="BF14" s="61">
        <f t="shared" si="18"/>
        <v>320.58510416667872</v>
      </c>
      <c r="BG14" s="61">
        <f t="shared" si="19"/>
        <v>292.0734479166702</v>
      </c>
      <c r="BH14" s="61">
        <f t="shared" si="20"/>
        <v>320.58510416667917</v>
      </c>
      <c r="BI14" s="61">
        <f t="shared" si="21"/>
        <v>391.79583333333329</v>
      </c>
      <c r="BJ14" s="61">
        <f t="shared" si="22"/>
        <v>1.6029255208333957</v>
      </c>
      <c r="BK14" s="61">
        <f t="shared" si="23"/>
        <v>1.6029255208333937</v>
      </c>
      <c r="BL14" s="61">
        <f t="shared" si="24"/>
        <v>1.4603672395833511</v>
      </c>
      <c r="BM14" s="61">
        <f t="shared" si="25"/>
        <v>1.6029255208333957</v>
      </c>
      <c r="BN14" s="61">
        <f t="shared" si="26"/>
        <v>1.9589791666666663</v>
      </c>
      <c r="BO14">
        <f t="shared" si="27"/>
        <v>249825.97407142899</v>
      </c>
      <c r="BP14" s="42">
        <f t="shared" si="28"/>
        <v>2350.7749999999996</v>
      </c>
      <c r="BQ14" s="42">
        <f>ROUNDUP(AK14,-1)-50</f>
        <v>80</v>
      </c>
      <c r="BR14" s="42">
        <v>0</v>
      </c>
      <c r="BS14" s="42">
        <f>ROUNDUP(AM14,-1)</f>
        <v>150</v>
      </c>
      <c r="BT14">
        <f>VLOOKUP($B14,'[4]Food Monitor'!$A$4:$AD$95,16,0)</f>
        <v>190</v>
      </c>
      <c r="BU14">
        <f>VLOOKUP($B14,'[4]Food Monitor'!$A$4:$AD$95,27,0)</f>
        <v>160</v>
      </c>
    </row>
    <row r="15" spans="1:73" ht="16.5" hidden="1">
      <c r="A15" s="51" t="s">
        <v>105</v>
      </c>
      <c r="B15" s="51" t="s">
        <v>137</v>
      </c>
      <c r="C15" s="52" t="s">
        <v>138</v>
      </c>
      <c r="D15" s="51" t="s">
        <v>20</v>
      </c>
      <c r="E15" s="59" t="s">
        <v>20</v>
      </c>
      <c r="F15" s="59" t="s">
        <v>108</v>
      </c>
      <c r="G15" s="63">
        <v>376.62876199999903</v>
      </c>
      <c r="H15" s="61" t="s">
        <v>116</v>
      </c>
      <c r="I15" s="61" t="s">
        <v>110</v>
      </c>
      <c r="J15" s="70">
        <v>494464.2</v>
      </c>
      <c r="K15" s="70">
        <f t="shared" si="0"/>
        <v>692989.64000000036</v>
      </c>
      <c r="L15" s="71">
        <f t="shared" si="1"/>
        <v>34.869580442687777</v>
      </c>
      <c r="M15" s="71">
        <v>1980</v>
      </c>
      <c r="N15" s="71">
        <v>450</v>
      </c>
      <c r="O15" s="71">
        <v>3168</v>
      </c>
      <c r="P15" s="51">
        <f t="shared" si="2"/>
        <v>20</v>
      </c>
      <c r="Q15" s="73">
        <v>45191</v>
      </c>
      <c r="R15" s="73">
        <v>45211</v>
      </c>
      <c r="S15" s="70">
        <f>VLOOKUP(B15,[1]Sheet7!$H$2:$M$93,5,0)</f>
        <v>902845.11999999359</v>
      </c>
      <c r="T15" s="71">
        <f t="shared" si="3"/>
        <v>80.338594055881259</v>
      </c>
      <c r="U15" s="70">
        <f>VLOOKUP($B15,[1]Sheet7!$H$2:$M$93,4,0)</f>
        <v>775562.7499999943</v>
      </c>
      <c r="V15" s="70">
        <f>VLOOKUP($B15,[1]Sheet7!$H$2:$M$93,2,0)</f>
        <v>78372.959999999948</v>
      </c>
      <c r="W15" s="70">
        <f>VLOOKUP($B15,[1]Sheet7!$H$2:$M$93,3,0)</f>
        <v>49243.830000000009</v>
      </c>
      <c r="X15" s="71">
        <f>VLOOKUP($B15,[1]Sheet8!$D$2:$E$93,2,0)</f>
        <v>4491</v>
      </c>
      <c r="Y15" s="71">
        <f>VLOOKUP($B15,[1]Sheet8!$P$3:$Q$94,2,0)</f>
        <v>8621</v>
      </c>
      <c r="Z15" s="71">
        <f>VLOOKUP($B15,[1]Sheet8!$J$3:$K$94,2,0)</f>
        <v>1000</v>
      </c>
      <c r="AA15" s="71">
        <f>VLOOKUP($B15,[1]Sheet7!$H$2:$M$93,6,0)</f>
        <v>111239</v>
      </c>
      <c r="AB15" s="57">
        <v>14180.388571428601</v>
      </c>
      <c r="AC15" s="57">
        <v>14524.4798245495</v>
      </c>
      <c r="AD15" s="76">
        <v>2.42652908548791E-2</v>
      </c>
      <c r="AE15" s="57">
        <f t="shared" si="4"/>
        <v>15976.927807004451</v>
      </c>
      <c r="AF15" s="75">
        <v>1.1000000000000001</v>
      </c>
      <c r="AG15" s="77">
        <f>VLOOKUP($B15,[2]Sheet1!$E$2:$I$96,4,0)</f>
        <v>11238</v>
      </c>
      <c r="AH15" s="77">
        <f>VLOOKUP($B15,[2]Sheet1!$E$2:$I$96,5,0)</f>
        <v>1628</v>
      </c>
      <c r="AI15" s="77">
        <f t="shared" si="5"/>
        <v>78666</v>
      </c>
      <c r="AJ15" s="61">
        <f t="shared" si="6"/>
        <v>11396</v>
      </c>
      <c r="AK15" s="61">
        <f>VLOOKUP(B15,[2]Sheet9!$D$2:$F$94,3,0)</f>
        <v>601</v>
      </c>
      <c r="AL15" s="61">
        <f>VLOOKUP(B15,[2]Sheet9!$J$3:$L$95,3,0)</f>
        <v>121</v>
      </c>
      <c r="AM15" s="61">
        <f>VLOOKUP(B15,[2]Sheet9!$P$3:$R$95,3,0)</f>
        <v>659</v>
      </c>
      <c r="AN15" s="70">
        <f t="shared" si="7"/>
        <v>201647.23263108544</v>
      </c>
      <c r="AO15" s="71">
        <f t="shared" si="8"/>
        <v>25205.90407888568</v>
      </c>
      <c r="AP15" s="71">
        <f t="shared" si="9"/>
        <v>-793.85714285714312</v>
      </c>
      <c r="AQ15" s="71">
        <f t="shared" si="10"/>
        <v>-204.28571428571422</v>
      </c>
      <c r="AR15" s="71">
        <f t="shared" si="11"/>
        <v>-3570.1428571428569</v>
      </c>
      <c r="AS15" s="61" t="str">
        <f t="shared" si="12"/>
        <v>Out of Stock Risk</v>
      </c>
      <c r="AT15" s="57">
        <v>100294.993759363</v>
      </c>
      <c r="AU15" s="57">
        <f t="shared" si="13"/>
        <v>101671.3587718465</v>
      </c>
      <c r="AV15" s="57">
        <f t="shared" si="14"/>
        <v>85567.607631553939</v>
      </c>
      <c r="AW15" s="57">
        <v>101671.358771846</v>
      </c>
      <c r="AX15" s="57">
        <f>AI15*0.4+AC15*7*0.6</f>
        <v>92469.215263107908</v>
      </c>
      <c r="AY15" s="61">
        <f t="shared" si="15"/>
        <v>12536.874219920375</v>
      </c>
      <c r="AZ15" s="61">
        <f>IFERROR(VLOOKUP(B15,[3]Sheet2!$E$4:$F$17,2,0),0)</f>
        <v>3515</v>
      </c>
      <c r="BA15" s="61">
        <f>AU15/8-AZ15</f>
        <v>9193.9198464808123</v>
      </c>
      <c r="BB15" s="61">
        <f t="shared" si="29"/>
        <v>10695.950953944242</v>
      </c>
      <c r="BC15" s="61">
        <f t="shared" si="30"/>
        <v>12708.91984648075</v>
      </c>
      <c r="BD15" s="61">
        <f t="shared" si="31"/>
        <v>11558.651907888488</v>
      </c>
      <c r="BE15" s="61">
        <f t="shared" si="17"/>
        <v>2089.4790366533957</v>
      </c>
      <c r="BF15" s="61">
        <f t="shared" si="18"/>
        <v>1532.3199744134688</v>
      </c>
      <c r="BG15" s="61">
        <f t="shared" si="19"/>
        <v>1782.6584923240405</v>
      </c>
      <c r="BH15" s="61">
        <f t="shared" si="20"/>
        <v>2118.1533077467916</v>
      </c>
      <c r="BI15" s="61">
        <f t="shared" si="21"/>
        <v>1340.6086513147482</v>
      </c>
      <c r="BJ15" s="61">
        <f t="shared" si="22"/>
        <v>10.447395183266979</v>
      </c>
      <c r="BK15" s="61">
        <f t="shared" si="23"/>
        <v>7.6615998720673435</v>
      </c>
      <c r="BL15" s="61">
        <f t="shared" si="24"/>
        <v>8.9132924616202018</v>
      </c>
      <c r="BM15" s="61">
        <f t="shared" si="25"/>
        <v>10.590766538733959</v>
      </c>
      <c r="BN15" s="61">
        <f t="shared" si="26"/>
        <v>6.7030432565737401</v>
      </c>
      <c r="BO15">
        <f t="shared" si="27"/>
        <v>821161.76231836854</v>
      </c>
      <c r="BP15" s="42">
        <f t="shared" si="28"/>
        <v>8043.6519078884885</v>
      </c>
      <c r="BQ15" s="42">
        <f>ROUNDUP(AK15,-1)-100</f>
        <v>510</v>
      </c>
      <c r="BR15" s="42">
        <f>ROUNDUP(AL15,-1)-50</f>
        <v>80</v>
      </c>
      <c r="BS15" s="42">
        <f>ROUNDUP(AM15,-1)-100</f>
        <v>560</v>
      </c>
      <c r="BT15">
        <f>VLOOKUP($B15,'[4]Food Monitor'!$A$4:$AD$95,16,0)</f>
        <v>900</v>
      </c>
      <c r="BU15">
        <f>VLOOKUP($B15,'[4]Food Monitor'!$A$4:$AD$95,27,0)</f>
        <v>210</v>
      </c>
    </row>
    <row r="16" spans="1:73" ht="16.5" hidden="1">
      <c r="A16" s="51" t="s">
        <v>105</v>
      </c>
      <c r="B16" s="51" t="s">
        <v>139</v>
      </c>
      <c r="C16" s="52" t="s">
        <v>140</v>
      </c>
      <c r="D16" s="51" t="s">
        <v>20</v>
      </c>
      <c r="E16" s="59" t="s">
        <v>20</v>
      </c>
      <c r="F16" s="59" t="s">
        <v>108</v>
      </c>
      <c r="G16" s="63">
        <v>292.64445000000001</v>
      </c>
      <c r="H16" s="61" t="s">
        <v>116</v>
      </c>
      <c r="I16" s="61" t="s">
        <v>113</v>
      </c>
      <c r="J16" s="70">
        <v>360839.57</v>
      </c>
      <c r="K16" s="70">
        <f t="shared" si="0"/>
        <v>496377.61000000697</v>
      </c>
      <c r="L16" s="71">
        <f t="shared" si="1"/>
        <v>37.271853569667527</v>
      </c>
      <c r="M16" s="71">
        <v>2790</v>
      </c>
      <c r="N16" s="71">
        <v>360</v>
      </c>
      <c r="O16" s="71">
        <v>3168</v>
      </c>
      <c r="P16" s="51">
        <f t="shared" si="2"/>
        <v>20</v>
      </c>
      <c r="Q16" s="73">
        <v>45191</v>
      </c>
      <c r="R16" s="73">
        <v>45211</v>
      </c>
      <c r="S16" s="70">
        <f>VLOOKUP(B16,[1]Sheet7!$H$2:$M$93,5,0)</f>
        <v>573084.41999999993</v>
      </c>
      <c r="T16" s="71">
        <f t="shared" si="3"/>
        <v>73.661236503856031</v>
      </c>
      <c r="U16" s="70">
        <f>VLOOKUP($B16,[1]Sheet7!$H$2:$M$93,4,0)</f>
        <v>489873.22999999957</v>
      </c>
      <c r="V16" s="70">
        <f>VLOOKUP($B16,[1]Sheet7!$H$2:$M$93,2,0)</f>
        <v>83161.37999999983</v>
      </c>
      <c r="W16" s="70">
        <f>VLOOKUP($B16,[1]Sheet7!$H$2:$M$93,3,0)</f>
        <v>0</v>
      </c>
      <c r="X16" s="71">
        <f>VLOOKUP($B16,[1]Sheet8!$D$2:$E$93,2,0)</f>
        <v>4049</v>
      </c>
      <c r="Y16" s="71">
        <f>VLOOKUP($B16,[1]Sheet8!$P$3:$Q$94,2,0)</f>
        <v>5893</v>
      </c>
      <c r="Z16" s="71">
        <f>VLOOKUP($B16,[1]Sheet8!$J$3:$K$94,2,0)</f>
        <v>706</v>
      </c>
      <c r="AA16" s="71">
        <f>VLOOKUP($B16,[1]Sheet7!$H$2:$M$93,6,0)</f>
        <v>71814</v>
      </c>
      <c r="AB16" s="57">
        <v>9681.2885714290696</v>
      </c>
      <c r="AC16" s="57">
        <v>9681.2885714290696</v>
      </c>
      <c r="AD16" s="75">
        <v>0</v>
      </c>
      <c r="AE16" s="57">
        <f t="shared" si="4"/>
        <v>10649.417428571978</v>
      </c>
      <c r="AF16" s="75">
        <v>1.1000000000000001</v>
      </c>
      <c r="AG16" s="77">
        <f>VLOOKUP($B16,[2]Sheet1!$E$2:$I$96,4,0)</f>
        <v>7780</v>
      </c>
      <c r="AH16" s="77">
        <f>VLOOKUP($B16,[2]Sheet1!$E$2:$I$96,5,0)</f>
        <v>1122</v>
      </c>
      <c r="AI16" s="77">
        <f t="shared" si="5"/>
        <v>54460</v>
      </c>
      <c r="AJ16" s="61">
        <f t="shared" si="6"/>
        <v>7854</v>
      </c>
      <c r="AK16" s="61">
        <f>VLOOKUP(B16,[2]Sheet9!$D$2:$F$94,3,0)</f>
        <v>408</v>
      </c>
      <c r="AL16" s="61">
        <f>VLOOKUP(B16,[2]Sheet9!$J$3:$L$95,3,0)</f>
        <v>144</v>
      </c>
      <c r="AM16" s="61">
        <f>VLOOKUP(B16,[2]Sheet9!$P$3:$R$95,3,0)</f>
        <v>474</v>
      </c>
      <c r="AN16" s="70">
        <f t="shared" si="7"/>
        <v>194369.27000002097</v>
      </c>
      <c r="AO16" s="71">
        <f t="shared" si="8"/>
        <v>24296.158750002622</v>
      </c>
      <c r="AP16" s="71">
        <f t="shared" si="9"/>
        <v>-93.285714285714221</v>
      </c>
      <c r="AQ16" s="71">
        <f t="shared" si="10"/>
        <v>65.428571428571445</v>
      </c>
      <c r="AR16" s="71">
        <f t="shared" si="11"/>
        <v>-1370.7142857142862</v>
      </c>
      <c r="AS16" s="61" t="str">
        <f t="shared" si="12"/>
        <v>Out of Stock Risk</v>
      </c>
      <c r="AT16" s="57">
        <v>67769.020000003497</v>
      </c>
      <c r="AU16" s="57">
        <f t="shared" si="13"/>
        <v>67769.020000003482</v>
      </c>
      <c r="AV16" s="57">
        <f t="shared" si="14"/>
        <v>58452.706000001046</v>
      </c>
      <c r="AW16" s="57">
        <v>67769.020000003497</v>
      </c>
      <c r="AX16" s="57">
        <f>AI16*1.18</f>
        <v>64262.799999999996</v>
      </c>
      <c r="AY16" s="61">
        <f t="shared" si="15"/>
        <v>8471.1275000004371</v>
      </c>
      <c r="AZ16" s="61">
        <f>IFERROR(VLOOKUP(B16,[3]Sheet2!$E$4:$F$17,2,0),0)</f>
        <v>2516</v>
      </c>
      <c r="BA16" s="61">
        <f>AU16/8-AZ16</f>
        <v>5955.1275000004352</v>
      </c>
      <c r="BB16" s="61">
        <f t="shared" si="29"/>
        <v>7306.5882500001308</v>
      </c>
      <c r="BC16" s="61">
        <f t="shared" si="30"/>
        <v>8471.1275000004371</v>
      </c>
      <c r="BD16" s="61">
        <f t="shared" si="31"/>
        <v>8032.8499999999995</v>
      </c>
      <c r="BE16" s="61">
        <f t="shared" si="17"/>
        <v>1411.8545833334063</v>
      </c>
      <c r="BF16" s="61">
        <f t="shared" si="18"/>
        <v>992.52125000007254</v>
      </c>
      <c r="BG16" s="61">
        <f t="shared" si="19"/>
        <v>1217.7647083333552</v>
      </c>
      <c r="BH16" s="61">
        <f t="shared" si="20"/>
        <v>1411.8545833334063</v>
      </c>
      <c r="BI16" s="61">
        <f t="shared" si="21"/>
        <v>919.47499999999991</v>
      </c>
      <c r="BJ16" s="61">
        <f t="shared" si="22"/>
        <v>7.0592729166670312</v>
      </c>
      <c r="BK16" s="61">
        <f t="shared" si="23"/>
        <v>4.9626062500003627</v>
      </c>
      <c r="BL16" s="61">
        <f t="shared" si="24"/>
        <v>6.088823541666776</v>
      </c>
      <c r="BM16" s="61">
        <f t="shared" si="25"/>
        <v>7.0592729166670312</v>
      </c>
      <c r="BN16" s="61">
        <f t="shared" si="26"/>
        <v>4.5973749999999995</v>
      </c>
      <c r="BO16">
        <f t="shared" si="27"/>
        <v>521536.73171427764</v>
      </c>
      <c r="BP16" s="42">
        <f t="shared" si="28"/>
        <v>5516.8499999999995</v>
      </c>
      <c r="BQ16" s="42">
        <f>ROUNDUP(AK16,-1)-50</f>
        <v>360</v>
      </c>
      <c r="BR16" s="42">
        <f>ROUNDUP(AL16,-1)</f>
        <v>150</v>
      </c>
      <c r="BS16" s="42">
        <f>ROUNDUP(AM16,-1)-100</f>
        <v>380</v>
      </c>
      <c r="BT16">
        <f>VLOOKUP($B16,'[4]Food Monitor'!$A$4:$AD$95,16,0)</f>
        <v>600</v>
      </c>
      <c r="BU16">
        <f>VLOOKUP($B16,'[4]Food Monitor'!$A$4:$AD$95,27,0)</f>
        <v>310</v>
      </c>
    </row>
    <row r="17" spans="1:73" ht="16.5" hidden="1">
      <c r="A17" s="51" t="s">
        <v>105</v>
      </c>
      <c r="B17" s="51" t="s">
        <v>141</v>
      </c>
      <c r="C17" s="52" t="s">
        <v>142</v>
      </c>
      <c r="D17" s="51" t="s">
        <v>20</v>
      </c>
      <c r="E17" s="59" t="s">
        <v>20</v>
      </c>
      <c r="F17" s="59" t="s">
        <v>108</v>
      </c>
      <c r="G17" s="63">
        <v>303.421198</v>
      </c>
      <c r="H17" s="61" t="s">
        <v>116</v>
      </c>
      <c r="I17" s="61" t="s">
        <v>110</v>
      </c>
      <c r="J17" s="70">
        <v>320705.89</v>
      </c>
      <c r="K17" s="70">
        <f t="shared" si="0"/>
        <v>412618.5600000039</v>
      </c>
      <c r="L17" s="71">
        <f t="shared" si="1"/>
        <v>48.849440017353558</v>
      </c>
      <c r="M17" s="71">
        <v>2340</v>
      </c>
      <c r="N17" s="71">
        <v>360</v>
      </c>
      <c r="O17" s="71">
        <v>3168</v>
      </c>
      <c r="P17" s="51">
        <f t="shared" si="2"/>
        <v>20</v>
      </c>
      <c r="Q17" s="73">
        <v>45191</v>
      </c>
      <c r="R17" s="73">
        <v>45211</v>
      </c>
      <c r="S17" s="70">
        <f>VLOOKUP(B17,[1]Sheet7!$H$2:$M$93,5,0)</f>
        <v>569619.05999999237</v>
      </c>
      <c r="T17" s="71">
        <f t="shared" si="3"/>
        <v>108.23086832604834</v>
      </c>
      <c r="U17" s="70">
        <f>VLOOKUP($B17,[1]Sheet7!$H$2:$M$93,4,0)</f>
        <v>532750.36999999301</v>
      </c>
      <c r="V17" s="70">
        <f>VLOOKUP($B17,[1]Sheet7!$H$2:$M$93,2,0)</f>
        <v>37290.239999999983</v>
      </c>
      <c r="W17" s="70">
        <f>VLOOKUP($B17,[1]Sheet7!$H$2:$M$93,3,0)</f>
        <v>0</v>
      </c>
      <c r="X17" s="71">
        <f>VLOOKUP($B17,[1]Sheet8!$D$2:$E$93,2,0)</f>
        <v>2997</v>
      </c>
      <c r="Y17" s="71">
        <f>VLOOKUP($B17,[1]Sheet8!$P$3:$Q$94,2,0)</f>
        <v>5791</v>
      </c>
      <c r="Z17" s="71">
        <f>VLOOKUP($B17,[1]Sheet8!$J$3:$K$94,2,0)</f>
        <v>946</v>
      </c>
      <c r="AA17" s="71">
        <f>VLOOKUP($B17,[1]Sheet7!$H$2:$M$93,6,0)</f>
        <v>74239</v>
      </c>
      <c r="AB17" s="57">
        <v>6565.19071428599</v>
      </c>
      <c r="AC17" s="57">
        <v>7411.6879779823103</v>
      </c>
      <c r="AD17" s="76">
        <v>0.12893719322643901</v>
      </c>
      <c r="AE17" s="57">
        <f t="shared" si="4"/>
        <v>8152.8567757805422</v>
      </c>
      <c r="AF17" s="75">
        <v>1.1000000000000001</v>
      </c>
      <c r="AG17" s="77">
        <f>VLOOKUP($B17,[2]Sheet1!$E$2:$I$96,4,0)</f>
        <v>5263</v>
      </c>
      <c r="AH17" s="77">
        <f>VLOOKUP($B17,[2]Sheet1!$E$2:$I$96,5,0)</f>
        <v>715</v>
      </c>
      <c r="AI17" s="77">
        <f t="shared" si="5"/>
        <v>36841</v>
      </c>
      <c r="AJ17" s="61">
        <f t="shared" si="6"/>
        <v>5005</v>
      </c>
      <c r="AK17" s="61">
        <f>VLOOKUP(B17,[2]Sheet9!$D$2:$F$94,3,0)</f>
        <v>304</v>
      </c>
      <c r="AL17" s="61">
        <f>VLOOKUP(B17,[2]Sheet9!$J$3:$L$95,3,0)</f>
        <v>87</v>
      </c>
      <c r="AM17" s="61">
        <f>VLOOKUP(B17,[2]Sheet9!$P$3:$R$95,3,0)</f>
        <v>407</v>
      </c>
      <c r="AN17" s="70">
        <f t="shared" si="7"/>
        <v>62377.725075264578</v>
      </c>
      <c r="AO17" s="71">
        <f t="shared" si="8"/>
        <v>7797.2156344080722</v>
      </c>
      <c r="AP17" s="71">
        <f t="shared" si="9"/>
        <v>211.57142857142844</v>
      </c>
      <c r="AQ17" s="71">
        <f t="shared" si="10"/>
        <v>-337.42857142857144</v>
      </c>
      <c r="AR17" s="71">
        <f t="shared" si="11"/>
        <v>-1460.1428571428569</v>
      </c>
      <c r="AS17" s="61" t="str">
        <f t="shared" si="12"/>
        <v>Out of Stock Risk</v>
      </c>
      <c r="AT17" s="57">
        <v>48495.826791090898</v>
      </c>
      <c r="AU17" s="57">
        <f t="shared" si="13"/>
        <v>51881.815845876175</v>
      </c>
      <c r="AV17" s="57">
        <f t="shared" si="14"/>
        <v>41353.244753762847</v>
      </c>
      <c r="AW17" s="57">
        <v>51881.815845876197</v>
      </c>
      <c r="AX17" s="57">
        <f>AI17*0.7+AC17*7*0.3</f>
        <v>41353.244753762847</v>
      </c>
      <c r="AY17" s="61">
        <f t="shared" si="15"/>
        <v>6061.9783488863623</v>
      </c>
      <c r="AZ17" s="61">
        <f>IFERROR(VLOOKUP(B17,[3]Sheet2!$E$4:$F$17,2,0),0)</f>
        <v>0</v>
      </c>
      <c r="BA17" s="61">
        <f t="shared" ref="BA17:BA31" si="32">AU17/8</f>
        <v>6485.2269807345219</v>
      </c>
      <c r="BB17" s="61">
        <f t="shared" si="29"/>
        <v>5169.1555942203559</v>
      </c>
      <c r="BC17" s="61">
        <f t="shared" si="30"/>
        <v>6485.2269807345247</v>
      </c>
      <c r="BD17" s="61">
        <f t="shared" si="31"/>
        <v>5169.1555942203559</v>
      </c>
      <c r="BE17" s="61">
        <f t="shared" si="17"/>
        <v>1010.3297248143937</v>
      </c>
      <c r="BF17" s="61">
        <f t="shared" si="18"/>
        <v>1080.8711634557537</v>
      </c>
      <c r="BG17" s="61">
        <f t="shared" si="19"/>
        <v>861.52593237005931</v>
      </c>
      <c r="BH17" s="61">
        <f t="shared" si="20"/>
        <v>1080.8711634557542</v>
      </c>
      <c r="BI17" s="61">
        <f t="shared" si="21"/>
        <v>861.52593237005931</v>
      </c>
      <c r="BJ17" s="61">
        <f t="shared" si="22"/>
        <v>5.0516486240719685</v>
      </c>
      <c r="BK17" s="61">
        <f t="shared" si="23"/>
        <v>5.404355817278768</v>
      </c>
      <c r="BL17" s="61">
        <f t="shared" si="24"/>
        <v>4.3076296618502967</v>
      </c>
      <c r="BM17" s="61">
        <f t="shared" si="25"/>
        <v>5.4043558172787707</v>
      </c>
      <c r="BN17" s="61">
        <f t="shared" si="26"/>
        <v>4.3076296618502967</v>
      </c>
      <c r="BO17">
        <f t="shared" si="27"/>
        <v>523147.65222231805</v>
      </c>
      <c r="BP17" s="42">
        <f t="shared" si="28"/>
        <v>5169.1555942203559</v>
      </c>
      <c r="BQ17" s="42">
        <f>ROUNDUP(AK17,-1)-50</f>
        <v>260</v>
      </c>
      <c r="BR17" s="42">
        <f>ROUNDUP(AL17,-1)-50</f>
        <v>40</v>
      </c>
      <c r="BS17" s="42">
        <f>ROUNDUP(AM17,-1)-100</f>
        <v>310</v>
      </c>
      <c r="BT17">
        <f>VLOOKUP($B17,'[4]Food Monitor'!$A$4:$AD$95,16,0)</f>
        <v>450</v>
      </c>
      <c r="BU17">
        <f>VLOOKUP($B17,'[4]Food Monitor'!$A$4:$AD$95,27,0)</f>
        <v>160</v>
      </c>
    </row>
    <row r="18" spans="1:73" ht="16.5" hidden="1">
      <c r="A18" s="51" t="s">
        <v>105</v>
      </c>
      <c r="B18" s="51" t="s">
        <v>143</v>
      </c>
      <c r="C18" s="52" t="s">
        <v>144</v>
      </c>
      <c r="D18" s="51" t="s">
        <v>20</v>
      </c>
      <c r="E18" s="59" t="s">
        <v>20</v>
      </c>
      <c r="F18" s="59" t="s">
        <v>108</v>
      </c>
      <c r="G18" s="63">
        <v>377.093277</v>
      </c>
      <c r="H18" s="61" t="s">
        <v>109</v>
      </c>
      <c r="I18" s="61" t="s">
        <v>110</v>
      </c>
      <c r="J18" s="70">
        <v>302398.87</v>
      </c>
      <c r="K18" s="70">
        <f t="shared" si="0"/>
        <v>363722.57999999961</v>
      </c>
      <c r="L18" s="71">
        <f t="shared" si="1"/>
        <v>69.036661023933945</v>
      </c>
      <c r="M18" s="71">
        <v>1440</v>
      </c>
      <c r="N18" s="71">
        <v>630</v>
      </c>
      <c r="O18" s="71">
        <v>2112</v>
      </c>
      <c r="P18" s="51">
        <f t="shared" si="2"/>
        <v>20</v>
      </c>
      <c r="Q18" s="73">
        <v>45191</v>
      </c>
      <c r="R18" s="73">
        <v>45211</v>
      </c>
      <c r="S18" s="70">
        <f>VLOOKUP(B18,[1]Sheet7!$H$2:$M$93,5,0)</f>
        <v>461666.36999999743</v>
      </c>
      <c r="T18" s="71">
        <f t="shared" si="3"/>
        <v>130.52484308736143</v>
      </c>
      <c r="U18" s="70">
        <f>VLOOKUP($B18,[1]Sheet7!$H$2:$M$93,4,0)</f>
        <v>438310.75999999704</v>
      </c>
      <c r="V18" s="70">
        <f>VLOOKUP($B18,[1]Sheet7!$H$2:$M$93,2,0)</f>
        <v>23407.53000000001</v>
      </c>
      <c r="W18" s="70">
        <f>VLOOKUP($B18,[1]Sheet7!$H$2:$M$93,3,0)</f>
        <v>0</v>
      </c>
      <c r="X18" s="71">
        <f>VLOOKUP($B18,[1]Sheet8!$D$2:$E$93,2,0)</f>
        <v>2969</v>
      </c>
      <c r="Y18" s="71">
        <f>VLOOKUP($B18,[1]Sheet8!$P$3:$Q$94,2,0)</f>
        <v>4479</v>
      </c>
      <c r="Z18" s="71">
        <f>VLOOKUP($B18,[1]Sheet8!$J$3:$K$94,2,0)</f>
        <v>343</v>
      </c>
      <c r="AA18" s="71">
        <f>VLOOKUP($B18,[1]Sheet7!$H$2:$M$93,6,0)</f>
        <v>60554</v>
      </c>
      <c r="AB18" s="57">
        <v>4380.2649999999703</v>
      </c>
      <c r="AC18" s="57">
        <v>5668.8822363160598</v>
      </c>
      <c r="AD18" s="76">
        <v>0.29418704948584001</v>
      </c>
      <c r="AE18" s="57">
        <f t="shared" si="4"/>
        <v>6235.7704599476665</v>
      </c>
      <c r="AF18" s="75">
        <v>1.1000000000000001</v>
      </c>
      <c r="AG18" s="77">
        <f>VLOOKUP($B18,[2]Sheet1!$E$2:$I$96,4,0)</f>
        <v>3537</v>
      </c>
      <c r="AH18" s="77">
        <f>VLOOKUP($B18,[2]Sheet1!$E$2:$I$96,5,0)</f>
        <v>513</v>
      </c>
      <c r="AI18" s="77">
        <f t="shared" si="5"/>
        <v>24759</v>
      </c>
      <c r="AJ18" s="61">
        <f t="shared" si="6"/>
        <v>3591</v>
      </c>
      <c r="AK18" s="61">
        <f>VLOOKUP(B18,[2]Sheet9!$D$2:$F$94,3,0)</f>
        <v>222</v>
      </c>
      <c r="AL18" s="61">
        <f>VLOOKUP(B18,[2]Sheet9!$J$3:$L$95,3,0)</f>
        <v>55</v>
      </c>
      <c r="AM18" s="61">
        <f>VLOOKUP(B18,[2]Sheet9!$P$3:$R$95,3,0)</f>
        <v>230</v>
      </c>
      <c r="AN18" s="70">
        <f t="shared" si="7"/>
        <v>78825.553925277083</v>
      </c>
      <c r="AO18" s="71">
        <f t="shared" si="8"/>
        <v>9853.1942406596354</v>
      </c>
      <c r="AP18" s="71">
        <f t="shared" si="9"/>
        <v>-894.71428571428578</v>
      </c>
      <c r="AQ18" s="71">
        <f t="shared" si="10"/>
        <v>444.14285714285711</v>
      </c>
      <c r="AR18" s="71">
        <f t="shared" si="11"/>
        <v>-1709.8571428571431</v>
      </c>
      <c r="AS18" s="61" t="str">
        <f t="shared" si="12"/>
        <v>Out of Stock Risk</v>
      </c>
      <c r="AT18" s="57">
        <v>34527.706708948099</v>
      </c>
      <c r="AU18" s="57">
        <f t="shared" si="13"/>
        <v>39682.17565421242</v>
      </c>
      <c r="AV18" s="57">
        <f t="shared" si="14"/>
        <v>29235.952696263725</v>
      </c>
      <c r="AW18" s="57">
        <v>39682.175654212399</v>
      </c>
      <c r="AX18" s="57">
        <f>AI18*0.6+AC18*7*0.4</f>
        <v>30728.270261684971</v>
      </c>
      <c r="AY18" s="61">
        <f t="shared" si="15"/>
        <v>4315.9633386185124</v>
      </c>
      <c r="AZ18" s="61">
        <f>IFERROR(VLOOKUP(B18,[3]Sheet2!$E$4:$F$17,2,0),0)</f>
        <v>0</v>
      </c>
      <c r="BA18" s="61">
        <f t="shared" si="32"/>
        <v>4960.2719567765525</v>
      </c>
      <c r="BB18" s="61">
        <f t="shared" si="29"/>
        <v>3654.4940870329656</v>
      </c>
      <c r="BC18" s="61">
        <f t="shared" si="30"/>
        <v>4960.2719567765498</v>
      </c>
      <c r="BD18" s="61">
        <f t="shared" si="31"/>
        <v>3841.0337827106214</v>
      </c>
      <c r="BE18" s="61">
        <f t="shared" si="17"/>
        <v>719.32722310308543</v>
      </c>
      <c r="BF18" s="61">
        <f t="shared" si="18"/>
        <v>826.71199279609209</v>
      </c>
      <c r="BG18" s="61">
        <f t="shared" si="19"/>
        <v>609.08234783882756</v>
      </c>
      <c r="BH18" s="61">
        <f t="shared" si="20"/>
        <v>826.71199279609164</v>
      </c>
      <c r="BI18" s="61">
        <f t="shared" si="21"/>
        <v>640.17229711843686</v>
      </c>
      <c r="BJ18" s="61">
        <f t="shared" si="22"/>
        <v>3.5966361155154272</v>
      </c>
      <c r="BK18" s="61">
        <f t="shared" si="23"/>
        <v>4.1335599639804608</v>
      </c>
      <c r="BL18" s="61">
        <f t="shared" si="24"/>
        <v>3.045411739194138</v>
      </c>
      <c r="BM18" s="61">
        <f t="shared" si="25"/>
        <v>4.1335599639804581</v>
      </c>
      <c r="BN18" s="61">
        <f t="shared" si="26"/>
        <v>3.2008614855921844</v>
      </c>
      <c r="BO18">
        <f t="shared" si="27"/>
        <v>426033.79888583755</v>
      </c>
      <c r="BP18" s="42">
        <f t="shared" si="28"/>
        <v>3841.0337827106214</v>
      </c>
      <c r="BQ18" s="42">
        <f>ROUNDUP(AK18,-1)-100</f>
        <v>130</v>
      </c>
      <c r="BR18" s="42">
        <f t="shared" ref="BR18:BR23" si="33">ROUNDUP(AL18,-1)</f>
        <v>60</v>
      </c>
      <c r="BS18" s="42">
        <f>ROUNDUP(AM18,-1)-100</f>
        <v>130</v>
      </c>
      <c r="BT18">
        <f>VLOOKUP($B18,'[4]Food Monitor'!$A$4:$AD$95,16,0)</f>
        <v>290</v>
      </c>
      <c r="BU18">
        <f>VLOOKUP($B18,'[4]Food Monitor'!$A$4:$AD$95,27,0)</f>
        <v>140</v>
      </c>
    </row>
    <row r="19" spans="1:73" ht="16.5" hidden="1">
      <c r="A19" s="51" t="s">
        <v>105</v>
      </c>
      <c r="B19" s="51" t="s">
        <v>145</v>
      </c>
      <c r="C19" s="52" t="s">
        <v>146</v>
      </c>
      <c r="D19" s="51" t="s">
        <v>20</v>
      </c>
      <c r="E19" s="59" t="s">
        <v>20</v>
      </c>
      <c r="F19" s="59" t="s">
        <v>108</v>
      </c>
      <c r="G19" s="63">
        <v>399.48289999999901</v>
      </c>
      <c r="H19" s="61" t="s">
        <v>116</v>
      </c>
      <c r="I19" s="61" t="s">
        <v>110</v>
      </c>
      <c r="J19" s="70">
        <v>402939.02</v>
      </c>
      <c r="K19" s="70">
        <f t="shared" si="0"/>
        <v>462539.42999999929</v>
      </c>
      <c r="L19" s="71">
        <f t="shared" si="1"/>
        <v>94.649454257111159</v>
      </c>
      <c r="M19" s="71">
        <v>1800</v>
      </c>
      <c r="N19" s="71">
        <v>360</v>
      </c>
      <c r="O19" s="71">
        <v>3168</v>
      </c>
      <c r="P19" s="51">
        <f t="shared" si="2"/>
        <v>20</v>
      </c>
      <c r="Q19" s="73">
        <v>45191</v>
      </c>
      <c r="R19" s="73">
        <v>45211</v>
      </c>
      <c r="S19" s="70">
        <f>VLOOKUP(B19,[1]Sheet7!$H$2:$M$93,5,0)</f>
        <v>527949.75999999791</v>
      </c>
      <c r="T19" s="71">
        <f t="shared" si="3"/>
        <v>143.50360424028213</v>
      </c>
      <c r="U19" s="70">
        <f>VLOOKUP($B19,[1]Sheet7!$H$2:$M$93,4,0)</f>
        <v>460778.50999999646</v>
      </c>
      <c r="V19" s="70">
        <f>VLOOKUP($B19,[1]Sheet7!$H$2:$M$93,2,0)</f>
        <v>67349.769999999946</v>
      </c>
      <c r="W19" s="70">
        <f>VLOOKUP($B19,[1]Sheet7!$H$2:$M$93,3,0)</f>
        <v>0</v>
      </c>
      <c r="X19" s="71">
        <f>VLOOKUP($B19,[1]Sheet8!$D$2:$E$93,2,0)</f>
        <v>3075</v>
      </c>
      <c r="Y19" s="71">
        <f>VLOOKUP($B19,[1]Sheet8!$P$3:$Q$94,2,0)</f>
        <v>4603</v>
      </c>
      <c r="Z19" s="71">
        <f>VLOOKUP($B19,[1]Sheet8!$J$3:$K$94,2,0)</f>
        <v>375</v>
      </c>
      <c r="AA19" s="71">
        <f>VLOOKUP($B19,[1]Sheet7!$H$2:$M$93,6,0)</f>
        <v>69400</v>
      </c>
      <c r="AB19" s="57">
        <v>4257.17214285709</v>
      </c>
      <c r="AC19" s="57">
        <v>4257.17214285709</v>
      </c>
      <c r="AD19" s="75">
        <v>0</v>
      </c>
      <c r="AE19" s="57">
        <f t="shared" si="4"/>
        <v>4682.8893571427998</v>
      </c>
      <c r="AF19" s="75">
        <v>1.1000000000000001</v>
      </c>
      <c r="AG19" s="77">
        <f>VLOOKUP($B19,[2]Sheet1!$E$2:$I$96,4,0)</f>
        <v>3679</v>
      </c>
      <c r="AH19" s="77">
        <f>VLOOKUP($B19,[2]Sheet1!$E$2:$I$96,5,0)</f>
        <v>562</v>
      </c>
      <c r="AI19" s="77">
        <f t="shared" si="5"/>
        <v>25753</v>
      </c>
      <c r="AJ19" s="61">
        <f t="shared" si="6"/>
        <v>3934</v>
      </c>
      <c r="AK19" s="61">
        <f>VLOOKUP(B19,[2]Sheet9!$D$2:$F$94,3,0)</f>
        <v>175</v>
      </c>
      <c r="AL19" s="61">
        <f>VLOOKUP(B19,[2]Sheet9!$J$3:$L$95,3,0)</f>
        <v>51</v>
      </c>
      <c r="AM19" s="61">
        <f>VLOOKUP(B19,[2]Sheet9!$P$3:$R$95,3,0)</f>
        <v>260</v>
      </c>
      <c r="AN19" s="70">
        <f t="shared" si="7"/>
        <v>53790.489999999874</v>
      </c>
      <c r="AO19" s="71">
        <f t="shared" si="8"/>
        <v>6723.8112499999843</v>
      </c>
      <c r="AP19" s="71">
        <f t="shared" si="9"/>
        <v>-775</v>
      </c>
      <c r="AQ19" s="71">
        <f t="shared" si="10"/>
        <v>130.71428571428572</v>
      </c>
      <c r="AR19" s="71">
        <f t="shared" si="11"/>
        <v>-692.14285714285688</v>
      </c>
      <c r="AS19" s="61" t="str">
        <f t="shared" si="12"/>
        <v>Out of Stock Risk</v>
      </c>
      <c r="AT19" s="57">
        <v>29800.204999999602</v>
      </c>
      <c r="AU19" s="57">
        <f t="shared" si="13"/>
        <v>29800.204999999631</v>
      </c>
      <c r="AV19" s="57">
        <f t="shared" si="14"/>
        <v>26967.161499999886</v>
      </c>
      <c r="AW19" s="57">
        <v>29800.204999999602</v>
      </c>
      <c r="AX19" s="57">
        <f>AI19*1.25</f>
        <v>32191.25</v>
      </c>
      <c r="AY19" s="61">
        <f t="shared" si="15"/>
        <v>3725.0256249999502</v>
      </c>
      <c r="AZ19" s="61">
        <f>IFERROR(VLOOKUP(B19,[3]Sheet2!$E$4:$F$17,2,0),0)</f>
        <v>0</v>
      </c>
      <c r="BA19" s="61">
        <f t="shared" si="32"/>
        <v>3725.0256249999538</v>
      </c>
      <c r="BB19" s="61">
        <f t="shared" si="29"/>
        <v>3370.8951874999857</v>
      </c>
      <c r="BC19" s="61">
        <f t="shared" si="30"/>
        <v>3725.0256249999502</v>
      </c>
      <c r="BD19" s="61">
        <f t="shared" si="31"/>
        <v>4023.90625</v>
      </c>
      <c r="BE19" s="61">
        <f t="shared" si="17"/>
        <v>620.83760416665837</v>
      </c>
      <c r="BF19" s="61">
        <f t="shared" si="18"/>
        <v>620.83760416665893</v>
      </c>
      <c r="BG19" s="61">
        <f t="shared" si="19"/>
        <v>561.81586458333095</v>
      </c>
      <c r="BH19" s="61">
        <f t="shared" si="20"/>
        <v>620.83760416665837</v>
      </c>
      <c r="BI19" s="61">
        <f t="shared" si="21"/>
        <v>670.65104166666663</v>
      </c>
      <c r="BJ19" s="61">
        <f t="shared" si="22"/>
        <v>3.1041880208332917</v>
      </c>
      <c r="BK19" s="61">
        <f t="shared" si="23"/>
        <v>3.1041880208332948</v>
      </c>
      <c r="BL19" s="61">
        <f t="shared" si="24"/>
        <v>2.8090793229166549</v>
      </c>
      <c r="BM19" s="61">
        <f t="shared" si="25"/>
        <v>3.1041880208332917</v>
      </c>
      <c r="BN19" s="61">
        <f t="shared" si="26"/>
        <v>3.3532552083333331</v>
      </c>
      <c r="BO19">
        <f t="shared" si="27"/>
        <v>510479.07292857015</v>
      </c>
      <c r="BP19" s="42">
        <f t="shared" si="28"/>
        <v>4023.90625</v>
      </c>
      <c r="BQ19" s="42">
        <f>ROUNDUP(AK19,-1)-100</f>
        <v>80</v>
      </c>
      <c r="BR19" s="42">
        <f t="shared" si="33"/>
        <v>60</v>
      </c>
      <c r="BS19" s="42">
        <f>ROUNDUP(AM19,-1)-50</f>
        <v>210</v>
      </c>
      <c r="BT19">
        <f>VLOOKUP($B19,'[4]Food Monitor'!$A$4:$AD$95,16,0)</f>
        <v>400</v>
      </c>
      <c r="BU19">
        <f>VLOOKUP($B19,'[4]Food Monitor'!$A$4:$AD$95,27,0)</f>
        <v>100</v>
      </c>
    </row>
    <row r="20" spans="1:73" ht="16.5" hidden="1">
      <c r="A20" s="51" t="s">
        <v>105</v>
      </c>
      <c r="B20" s="51" t="s">
        <v>147</v>
      </c>
      <c r="C20" s="52" t="s">
        <v>148</v>
      </c>
      <c r="D20" s="51" t="s">
        <v>20</v>
      </c>
      <c r="E20" s="59" t="s">
        <v>20</v>
      </c>
      <c r="F20" s="59" t="s">
        <v>108</v>
      </c>
      <c r="G20" s="63">
        <v>288.83542699999902</v>
      </c>
      <c r="H20" s="61" t="s">
        <v>121</v>
      </c>
      <c r="I20" s="61" t="s">
        <v>110</v>
      </c>
      <c r="J20" s="70">
        <v>186768.58</v>
      </c>
      <c r="K20" s="70">
        <f t="shared" si="0"/>
        <v>218151.28000000099</v>
      </c>
      <c r="L20" s="71">
        <f t="shared" si="1"/>
        <v>83.318520076345138</v>
      </c>
      <c r="M20" s="71">
        <v>810</v>
      </c>
      <c r="N20" s="71">
        <v>450</v>
      </c>
      <c r="O20" s="71">
        <v>1408</v>
      </c>
      <c r="P20" s="51">
        <f t="shared" si="2"/>
        <v>20</v>
      </c>
      <c r="Q20" s="73">
        <v>45191</v>
      </c>
      <c r="R20" s="73">
        <v>45211</v>
      </c>
      <c r="S20" s="70">
        <f>VLOOKUP(B20,[1]Sheet7!$H$2:$M$93,5,0)</f>
        <v>290942.69000000099</v>
      </c>
      <c r="T20" s="71">
        <f t="shared" si="3"/>
        <v>146.718451840646</v>
      </c>
      <c r="U20" s="70">
        <f>VLOOKUP($B20,[1]Sheet7!$H$2:$M$93,4,0)</f>
        <v>247422.46999999997</v>
      </c>
      <c r="V20" s="70">
        <f>VLOOKUP($B20,[1]Sheet7!$H$2:$M$93,2,0)</f>
        <v>22377.319999999989</v>
      </c>
      <c r="W20" s="70">
        <f>VLOOKUP($B20,[1]Sheet7!$H$2:$M$93,3,0)</f>
        <v>21241.570000000003</v>
      </c>
      <c r="X20" s="71">
        <f>VLOOKUP($B20,[1]Sheet8!$D$2:$E$93,2,0)</f>
        <v>1846</v>
      </c>
      <c r="Y20" s="71">
        <f>VLOOKUP($B20,[1]Sheet8!$P$3:$Q$94,2,0)</f>
        <v>2677</v>
      </c>
      <c r="Z20" s="71">
        <f>VLOOKUP($B20,[1]Sheet8!$J$3:$K$94,2,0)</f>
        <v>394</v>
      </c>
      <c r="AA20" s="71">
        <f>VLOOKUP($B20,[1]Sheet7!$H$2:$M$93,6,0)</f>
        <v>35914</v>
      </c>
      <c r="AB20" s="57">
        <v>2241.6214285715</v>
      </c>
      <c r="AC20" s="57">
        <v>2418.3510412488599</v>
      </c>
      <c r="AD20" s="76">
        <v>7.8840079963897497E-2</v>
      </c>
      <c r="AE20" s="57">
        <f t="shared" si="4"/>
        <v>2660.1861453737461</v>
      </c>
      <c r="AF20" s="75">
        <v>1.1000000000000001</v>
      </c>
      <c r="AG20" s="77">
        <f>VLOOKUP($B20,[2]Sheet1!$E$2:$I$96,4,0)</f>
        <v>1983</v>
      </c>
      <c r="AH20" s="77">
        <f>VLOOKUP($B20,[2]Sheet1!$E$2:$I$96,5,0)</f>
        <v>293</v>
      </c>
      <c r="AI20" s="77">
        <f t="shared" si="5"/>
        <v>13881</v>
      </c>
      <c r="AJ20" s="61">
        <f t="shared" si="6"/>
        <v>2051</v>
      </c>
      <c r="AK20" s="61">
        <f>VLOOKUP(B20,[2]Sheet9!$D$2:$F$94,3,0)</f>
        <v>140</v>
      </c>
      <c r="AL20" s="61">
        <f>VLOOKUP(B20,[2]Sheet9!$J$3:$L$95,3,0)</f>
        <v>41</v>
      </c>
      <c r="AM20" s="61">
        <f>VLOOKUP(B20,[2]Sheet9!$P$3:$R$95,3,0)</f>
        <v>154</v>
      </c>
      <c r="AN20" s="70">
        <f t="shared" si="7"/>
        <v>-2603.366267548874</v>
      </c>
      <c r="AO20" s="71">
        <f t="shared" si="8"/>
        <v>0</v>
      </c>
      <c r="AP20" s="71">
        <f t="shared" si="9"/>
        <v>-636</v>
      </c>
      <c r="AQ20" s="71">
        <f t="shared" si="10"/>
        <v>173.14285714285711</v>
      </c>
      <c r="AR20" s="71">
        <f t="shared" si="11"/>
        <v>-829</v>
      </c>
      <c r="AS20" s="61" t="str">
        <f t="shared" si="12"/>
        <v>Normal</v>
      </c>
      <c r="AT20" s="57">
        <v>16221.5388380326</v>
      </c>
      <c r="AU20" s="57">
        <f t="shared" si="13"/>
        <v>16928.457288742018</v>
      </c>
      <c r="AV20" s="57">
        <f t="shared" si="14"/>
        <v>14795.237186622604</v>
      </c>
      <c r="AW20" s="57">
        <v>16928.457288742</v>
      </c>
      <c r="AX20" s="57">
        <f>AI20*1.22</f>
        <v>16934.82</v>
      </c>
      <c r="AY20" s="61">
        <f t="shared" si="15"/>
        <v>2027.692354754075</v>
      </c>
      <c r="AZ20" s="61">
        <f>IFERROR(VLOOKUP(B20,[3]Sheet2!$E$4:$F$17,2,0),0)</f>
        <v>0</v>
      </c>
      <c r="BA20" s="61">
        <f t="shared" si="32"/>
        <v>2116.0571610927523</v>
      </c>
      <c r="BB20" s="61">
        <f t="shared" si="29"/>
        <v>1849.4046483278255</v>
      </c>
      <c r="BC20" s="61">
        <f t="shared" si="30"/>
        <v>2116.05716109275</v>
      </c>
      <c r="BD20" s="61">
        <f t="shared" si="31"/>
        <v>2116.8525</v>
      </c>
      <c r="BE20" s="61">
        <f t="shared" si="17"/>
        <v>337.94872579234584</v>
      </c>
      <c r="BF20" s="61">
        <f t="shared" si="18"/>
        <v>352.67619351545869</v>
      </c>
      <c r="BG20" s="61">
        <f t="shared" si="19"/>
        <v>308.2341080546376</v>
      </c>
      <c r="BH20" s="61">
        <f t="shared" si="20"/>
        <v>352.67619351545835</v>
      </c>
      <c r="BI20" s="61">
        <f t="shared" si="21"/>
        <v>352.80874999999997</v>
      </c>
      <c r="BJ20" s="61">
        <f t="shared" si="22"/>
        <v>1.6897436289617291</v>
      </c>
      <c r="BK20" s="61">
        <f t="shared" si="23"/>
        <v>1.7633809675772936</v>
      </c>
      <c r="BL20" s="61">
        <f t="shared" si="24"/>
        <v>1.5411705402731879</v>
      </c>
      <c r="BM20" s="61">
        <f t="shared" si="25"/>
        <v>1.7633809675772916</v>
      </c>
      <c r="BN20" s="61">
        <f t="shared" si="26"/>
        <v>1.7640437499999999</v>
      </c>
      <c r="BO20">
        <f t="shared" si="27"/>
        <v>280026.07650753093</v>
      </c>
      <c r="BP20" s="42">
        <f t="shared" si="28"/>
        <v>2116.8525</v>
      </c>
      <c r="BQ20" s="42">
        <f>ROUNDUP(AK20,-1)-100</f>
        <v>40</v>
      </c>
      <c r="BR20" s="42">
        <f t="shared" si="33"/>
        <v>50</v>
      </c>
      <c r="BS20" s="42">
        <f>ROUNDUP(AM20,-1)-100</f>
        <v>60</v>
      </c>
      <c r="BT20">
        <f>VLOOKUP($B20,'[4]Food Monitor'!$A$4:$AD$95,16,0)</f>
        <v>140</v>
      </c>
      <c r="BU20">
        <f>VLOOKUP($B20,'[4]Food Monitor'!$A$4:$AD$95,27,0)</f>
        <v>90</v>
      </c>
    </row>
    <row r="21" spans="1:73" ht="16.5" hidden="1">
      <c r="A21" s="51" t="s">
        <v>105</v>
      </c>
      <c r="B21" s="51" t="s">
        <v>149</v>
      </c>
      <c r="C21" s="52" t="s">
        <v>150</v>
      </c>
      <c r="D21" s="51" t="s">
        <v>20</v>
      </c>
      <c r="E21" s="59" t="s">
        <v>20</v>
      </c>
      <c r="F21" s="59" t="s">
        <v>108</v>
      </c>
      <c r="G21" s="63">
        <v>324</v>
      </c>
      <c r="H21" s="61" t="s">
        <v>109</v>
      </c>
      <c r="I21" s="61" t="s">
        <v>151</v>
      </c>
      <c r="J21" s="70">
        <v>233951.05</v>
      </c>
      <c r="K21" s="70">
        <f t="shared" si="0"/>
        <v>283558.29000000004</v>
      </c>
      <c r="L21" s="71">
        <f t="shared" si="1"/>
        <v>66.024933054126691</v>
      </c>
      <c r="M21" s="71">
        <v>1170</v>
      </c>
      <c r="N21" s="71">
        <v>450</v>
      </c>
      <c r="O21" s="71">
        <v>2112</v>
      </c>
      <c r="P21" s="51">
        <f t="shared" si="2"/>
        <v>20</v>
      </c>
      <c r="Q21" s="73">
        <v>45191</v>
      </c>
      <c r="R21" s="73">
        <v>45211</v>
      </c>
      <c r="S21" s="70">
        <f>VLOOKUP(B21,[1]Sheet7!$H$2:$M$93,5,0)</f>
        <v>327882.6600000019</v>
      </c>
      <c r="T21" s="71">
        <f t="shared" si="3"/>
        <v>126.20579676674438</v>
      </c>
      <c r="U21" s="70">
        <f>VLOOKUP($B21,[1]Sheet7!$H$2:$M$93,4,0)</f>
        <v>257386.3000000006</v>
      </c>
      <c r="V21" s="70">
        <f>VLOOKUP($B21,[1]Sheet7!$H$2:$M$93,2,0)</f>
        <v>47483.369999999908</v>
      </c>
      <c r="W21" s="70">
        <f>VLOOKUP($B21,[1]Sheet7!$H$2:$M$93,3,0)</f>
        <v>23055.869999999992</v>
      </c>
      <c r="X21" s="71">
        <f>VLOOKUP($B21,[1]Sheet8!$D$2:$E$93,2,0)</f>
        <v>2408</v>
      </c>
      <c r="Y21" s="71">
        <f>VLOOKUP($B21,[1]Sheet8!$P$3:$Q$94,2,0)</f>
        <v>3438</v>
      </c>
      <c r="Z21" s="71">
        <f>VLOOKUP($B21,[1]Sheet8!$J$3:$K$94,2,0)</f>
        <v>521</v>
      </c>
      <c r="AA21" s="71">
        <f>VLOOKUP($B21,[1]Sheet7!$H$2:$M$93,6,0)</f>
        <v>42972</v>
      </c>
      <c r="AB21" s="57">
        <v>3543.3742857142902</v>
      </c>
      <c r="AC21" s="57">
        <v>3543.3742857142902</v>
      </c>
      <c r="AD21" s="75">
        <v>0</v>
      </c>
      <c r="AE21" s="57">
        <f t="shared" si="4"/>
        <v>3897.7117142857196</v>
      </c>
      <c r="AF21" s="75">
        <v>1.1000000000000001</v>
      </c>
      <c r="AG21" s="77">
        <f>VLOOKUP($B21,[2]Sheet1!$E$2:$I$96,4,0)</f>
        <v>2598</v>
      </c>
      <c r="AH21" s="77">
        <f>VLOOKUP($B21,[2]Sheet1!$E$2:$I$96,5,0)</f>
        <v>404</v>
      </c>
      <c r="AI21" s="77">
        <f t="shared" si="5"/>
        <v>18186</v>
      </c>
      <c r="AJ21" s="61">
        <f t="shared" si="6"/>
        <v>2828</v>
      </c>
      <c r="AK21" s="61">
        <f>VLOOKUP(B21,[2]Sheet9!$D$2:$F$94,3,0)</f>
        <v>177</v>
      </c>
      <c r="AL21" s="61">
        <f>VLOOKUP(B21,[2]Sheet9!$J$3:$L$95,3,0)</f>
        <v>30</v>
      </c>
      <c r="AM21" s="61">
        <f>VLOOKUP(B21,[2]Sheet9!$P$3:$R$95,3,0)</f>
        <v>205</v>
      </c>
      <c r="AN21" s="70">
        <f t="shared" si="7"/>
        <v>54890.10999999824</v>
      </c>
      <c r="AO21" s="71">
        <f t="shared" si="8"/>
        <v>6861.26374999978</v>
      </c>
      <c r="AP21" s="71">
        <f t="shared" si="9"/>
        <v>-732.28571428571422</v>
      </c>
      <c r="AQ21" s="71">
        <f t="shared" si="10"/>
        <v>14.714285714285666</v>
      </c>
      <c r="AR21" s="71">
        <f t="shared" si="11"/>
        <v>-740.28571428571422</v>
      </c>
      <c r="AS21" s="61" t="str">
        <f t="shared" si="12"/>
        <v>Out of Stock Risk</v>
      </c>
      <c r="AT21" s="57">
        <v>24803.62</v>
      </c>
      <c r="AU21" s="57">
        <f t="shared" si="13"/>
        <v>24803.620000000032</v>
      </c>
      <c r="AV21" s="57">
        <f t="shared" si="14"/>
        <v>20171.286000000007</v>
      </c>
      <c r="AW21" s="57">
        <v>24803.62</v>
      </c>
      <c r="AX21" s="57">
        <f>AI21*1.25</f>
        <v>22732.5</v>
      </c>
      <c r="AY21" s="61">
        <f t="shared" si="15"/>
        <v>3100.4524999999999</v>
      </c>
      <c r="AZ21" s="61">
        <f>IFERROR(VLOOKUP(B21,[3]Sheet2!$E$4:$F$17,2,0),0)</f>
        <v>0</v>
      </c>
      <c r="BA21" s="61">
        <f t="shared" si="32"/>
        <v>3100.452500000004</v>
      </c>
      <c r="BB21" s="61">
        <f t="shared" si="29"/>
        <v>2521.4107500000009</v>
      </c>
      <c r="BC21" s="61">
        <f t="shared" si="30"/>
        <v>3100.4524999999999</v>
      </c>
      <c r="BD21" s="61">
        <f t="shared" si="31"/>
        <v>2841.5625</v>
      </c>
      <c r="BE21" s="61">
        <f t="shared" si="17"/>
        <v>516.74208333333331</v>
      </c>
      <c r="BF21" s="61">
        <f t="shared" si="18"/>
        <v>516.74208333333399</v>
      </c>
      <c r="BG21" s="61">
        <f t="shared" si="19"/>
        <v>420.23512500000015</v>
      </c>
      <c r="BH21" s="61">
        <f t="shared" si="20"/>
        <v>516.74208333333331</v>
      </c>
      <c r="BI21" s="61">
        <f t="shared" si="21"/>
        <v>473.59375</v>
      </c>
      <c r="BJ21" s="61">
        <f t="shared" si="22"/>
        <v>2.5837104166666665</v>
      </c>
      <c r="BK21" s="61">
        <f t="shared" si="23"/>
        <v>2.58371041666667</v>
      </c>
      <c r="BL21" s="61">
        <f t="shared" si="24"/>
        <v>2.1011756250000007</v>
      </c>
      <c r="BM21" s="61">
        <f t="shared" si="25"/>
        <v>2.5837104166666665</v>
      </c>
      <c r="BN21" s="61">
        <f t="shared" si="26"/>
        <v>2.3679687500000002</v>
      </c>
      <c r="BO21">
        <f t="shared" si="27"/>
        <v>307005.70885714469</v>
      </c>
      <c r="BP21" s="42">
        <f t="shared" si="28"/>
        <v>2841.5625</v>
      </c>
      <c r="BQ21" s="42">
        <f>ROUNDUP(AK21,-1)-100</f>
        <v>80</v>
      </c>
      <c r="BR21" s="42">
        <f t="shared" si="33"/>
        <v>30</v>
      </c>
      <c r="BS21" s="42">
        <f>ROUNDUP(AM21,-1)-100</f>
        <v>110</v>
      </c>
      <c r="BT21">
        <f>VLOOKUP($B21,'[4]Food Monitor'!$A$4:$AD$95,16,0)</f>
        <v>300</v>
      </c>
      <c r="BU21">
        <f>VLOOKUP($B21,'[4]Food Monitor'!$A$4:$AD$95,27,0)</f>
        <v>130</v>
      </c>
    </row>
    <row r="22" spans="1:73" ht="16.5" hidden="1">
      <c r="A22" s="51" t="s">
        <v>105</v>
      </c>
      <c r="B22" s="51" t="s">
        <v>152</v>
      </c>
      <c r="C22" s="52" t="s">
        <v>153</v>
      </c>
      <c r="D22" s="51" t="s">
        <v>20</v>
      </c>
      <c r="E22" s="59" t="s">
        <v>20</v>
      </c>
      <c r="F22" s="59" t="s">
        <v>108</v>
      </c>
      <c r="G22" s="63">
        <v>399</v>
      </c>
      <c r="H22" s="61" t="s">
        <v>109</v>
      </c>
      <c r="I22" s="61" t="s">
        <v>151</v>
      </c>
      <c r="J22" s="70">
        <v>252545.84</v>
      </c>
      <c r="K22" s="70">
        <f t="shared" si="0"/>
        <v>309447.35999999975</v>
      </c>
      <c r="L22" s="71">
        <f t="shared" si="1"/>
        <v>62.136156643970381</v>
      </c>
      <c r="M22" s="71">
        <v>1260</v>
      </c>
      <c r="N22" s="71">
        <v>720</v>
      </c>
      <c r="O22" s="71">
        <v>2112</v>
      </c>
      <c r="P22" s="51">
        <f t="shared" si="2"/>
        <v>20</v>
      </c>
      <c r="Q22" s="73">
        <v>45191</v>
      </c>
      <c r="R22" s="73">
        <v>45211</v>
      </c>
      <c r="S22" s="70">
        <f>VLOOKUP(B22,[1]Sheet7!$H$2:$M$93,5,0)</f>
        <v>415693.3999999995</v>
      </c>
      <c r="T22" s="71">
        <f t="shared" si="3"/>
        <v>132.63988513082307</v>
      </c>
      <c r="U22" s="70">
        <f>VLOOKUP($B22,[1]Sheet7!$H$2:$M$93,4,0)</f>
        <v>364035.1999999978</v>
      </c>
      <c r="V22" s="70">
        <f>VLOOKUP($B22,[1]Sheet7!$H$2:$M$93,2,0)</f>
        <v>52076.409999999945</v>
      </c>
      <c r="W22" s="70">
        <f>VLOOKUP($B22,[1]Sheet7!$H$2:$M$93,3,0)</f>
        <v>0</v>
      </c>
      <c r="X22" s="71">
        <f>VLOOKUP($B22,[1]Sheet8!$D$2:$E$93,2,0)</f>
        <v>1998</v>
      </c>
      <c r="Y22" s="71">
        <f>VLOOKUP($B22,[1]Sheet8!$P$3:$Q$94,2,0)</f>
        <v>3468</v>
      </c>
      <c r="Z22" s="71">
        <f>VLOOKUP($B22,[1]Sheet8!$J$3:$K$94,2,0)</f>
        <v>638</v>
      </c>
      <c r="AA22" s="71">
        <f>VLOOKUP($B22,[1]Sheet7!$H$2:$M$93,6,0)</f>
        <v>55379</v>
      </c>
      <c r="AB22" s="57">
        <v>4064.3942857142702</v>
      </c>
      <c r="AC22" s="57">
        <v>4460.8674220880603</v>
      </c>
      <c r="AD22" s="76">
        <v>9.75479022218224E-2</v>
      </c>
      <c r="AE22" s="57">
        <f t="shared" si="4"/>
        <v>4906.954164296867</v>
      </c>
      <c r="AF22" s="75">
        <v>1.1000000000000001</v>
      </c>
      <c r="AG22" s="77">
        <f>VLOOKUP($B22,[2]Sheet1!$E$2:$I$96,4,0)</f>
        <v>3134</v>
      </c>
      <c r="AH22" s="77">
        <f>VLOOKUP($B22,[2]Sheet1!$E$2:$I$96,5,0)</f>
        <v>516</v>
      </c>
      <c r="AI22" s="77">
        <f t="shared" si="5"/>
        <v>21938</v>
      </c>
      <c r="AJ22" s="61">
        <f t="shared" si="6"/>
        <v>3612</v>
      </c>
      <c r="AK22" s="61">
        <f>VLOOKUP(B22,[2]Sheet9!$D$2:$F$94,3,0)</f>
        <v>242</v>
      </c>
      <c r="AL22" s="61">
        <f>VLOOKUP(B22,[2]Sheet9!$J$3:$L$95,3,0)</f>
        <v>57</v>
      </c>
      <c r="AM22" s="61">
        <f>VLOOKUP(B22,[2]Sheet9!$P$3:$R$95,3,0)</f>
        <v>153</v>
      </c>
      <c r="AN22" s="70">
        <f t="shared" si="7"/>
        <v>24208.871727699006</v>
      </c>
      <c r="AO22" s="71">
        <f t="shared" si="8"/>
        <v>3026.1089659623758</v>
      </c>
      <c r="AP22" s="71">
        <f t="shared" si="9"/>
        <v>-46.571428571428442</v>
      </c>
      <c r="AQ22" s="71">
        <f t="shared" si="10"/>
        <v>244.85714285714289</v>
      </c>
      <c r="AR22" s="71">
        <f t="shared" si="11"/>
        <v>-918.85714285714266</v>
      </c>
      <c r="AS22" s="61" t="str">
        <f t="shared" si="12"/>
        <v>Out of Stock Risk</v>
      </c>
      <c r="AT22" s="57">
        <v>29640.179409121301</v>
      </c>
      <c r="AU22" s="57">
        <f t="shared" si="13"/>
        <v>31226.071954616422</v>
      </c>
      <c r="AV22" s="57">
        <f t="shared" si="14"/>
        <v>24724.421586384924</v>
      </c>
      <c r="AW22" s="57">
        <v>31226.0719546164</v>
      </c>
      <c r="AX22" s="57">
        <f>AI22*1.34</f>
        <v>29396.920000000002</v>
      </c>
      <c r="AY22" s="61">
        <f t="shared" si="15"/>
        <v>3705.0224261401627</v>
      </c>
      <c r="AZ22" s="61">
        <f>IFERROR(VLOOKUP(B22,[3]Sheet2!$E$4:$F$17,2,0),0)</f>
        <v>0</v>
      </c>
      <c r="BA22" s="61">
        <f t="shared" si="32"/>
        <v>3903.2589943270527</v>
      </c>
      <c r="BB22" s="61">
        <f t="shared" si="29"/>
        <v>3090.5526982981155</v>
      </c>
      <c r="BC22" s="61">
        <f t="shared" si="30"/>
        <v>3903.25899432705</v>
      </c>
      <c r="BD22" s="61">
        <f t="shared" si="31"/>
        <v>3674.6150000000002</v>
      </c>
      <c r="BE22" s="61">
        <f t="shared" si="17"/>
        <v>617.50373769002715</v>
      </c>
      <c r="BF22" s="61">
        <f t="shared" si="18"/>
        <v>650.54316572117546</v>
      </c>
      <c r="BG22" s="61">
        <f t="shared" si="19"/>
        <v>515.09211638301929</v>
      </c>
      <c r="BH22" s="61">
        <f t="shared" si="20"/>
        <v>650.543165721175</v>
      </c>
      <c r="BI22" s="61">
        <f t="shared" si="21"/>
        <v>612.43583333333333</v>
      </c>
      <c r="BJ22" s="61">
        <f t="shared" si="22"/>
        <v>3.0875186884501358</v>
      </c>
      <c r="BK22" s="61">
        <f t="shared" si="23"/>
        <v>3.2527158286058775</v>
      </c>
      <c r="BL22" s="61">
        <f t="shared" si="24"/>
        <v>2.5754605819150962</v>
      </c>
      <c r="BM22" s="61">
        <f t="shared" si="25"/>
        <v>3.2527158286058748</v>
      </c>
      <c r="BN22" s="61">
        <f t="shared" si="26"/>
        <v>3.0621791666666667</v>
      </c>
      <c r="BO22">
        <f t="shared" si="27"/>
        <v>391501.49367066834</v>
      </c>
      <c r="BP22" s="42">
        <f t="shared" si="28"/>
        <v>3674.6150000000002</v>
      </c>
      <c r="BQ22" s="42">
        <f>ROUNDUP(AK22,-1)-50</f>
        <v>200</v>
      </c>
      <c r="BR22" s="42">
        <f t="shared" si="33"/>
        <v>60</v>
      </c>
      <c r="BS22" s="42">
        <f>ROUNDUP(AM22,-1)-100</f>
        <v>60</v>
      </c>
      <c r="BT22">
        <f>VLOOKUP($B22,'[4]Food Monitor'!$A$4:$AD$95,16,0)</f>
        <v>400</v>
      </c>
      <c r="BU22">
        <f>VLOOKUP($B22,'[4]Food Monitor'!$A$4:$AD$95,27,0)</f>
        <v>180</v>
      </c>
    </row>
    <row r="23" spans="1:73" ht="16.5" hidden="1">
      <c r="A23" s="51" t="s">
        <v>105</v>
      </c>
      <c r="B23" s="51" t="s">
        <v>154</v>
      </c>
      <c r="C23" s="52" t="s">
        <v>155</v>
      </c>
      <c r="D23" s="51" t="s">
        <v>20</v>
      </c>
      <c r="E23" s="59" t="s">
        <v>20</v>
      </c>
      <c r="F23" s="59" t="s">
        <v>108</v>
      </c>
      <c r="G23" s="63">
        <v>320</v>
      </c>
      <c r="H23" s="61" t="s">
        <v>109</v>
      </c>
      <c r="I23" s="61" t="s">
        <v>151</v>
      </c>
      <c r="J23" s="70">
        <v>219517.14</v>
      </c>
      <c r="K23" s="70">
        <f t="shared" si="0"/>
        <v>254637.28000000131</v>
      </c>
      <c r="L23" s="71">
        <f t="shared" si="1"/>
        <v>87.506483744082118</v>
      </c>
      <c r="M23" s="71">
        <v>1260</v>
      </c>
      <c r="N23" s="71">
        <v>450</v>
      </c>
      <c r="O23" s="71">
        <v>2112</v>
      </c>
      <c r="P23" s="51">
        <f t="shared" si="2"/>
        <v>20</v>
      </c>
      <c r="Q23" s="73">
        <v>45191</v>
      </c>
      <c r="R23" s="73">
        <v>45211</v>
      </c>
      <c r="S23" s="70">
        <f>VLOOKUP(B23,[1]Sheet7!$H$2:$M$93,5,0)</f>
        <v>318235.84000000096</v>
      </c>
      <c r="T23" s="71">
        <f t="shared" si="3"/>
        <v>156.15105004906817</v>
      </c>
      <c r="U23" s="70">
        <f>VLOOKUP($B23,[1]Sheet7!$H$2:$M$93,4,0)</f>
        <v>266970.79000000068</v>
      </c>
      <c r="V23" s="70">
        <f>VLOOKUP($B23,[1]Sheet7!$H$2:$M$93,2,0)</f>
        <v>36850.789999999957</v>
      </c>
      <c r="W23" s="70">
        <f>VLOOKUP($B23,[1]Sheet7!$H$2:$M$93,3,0)</f>
        <v>14862.649999999987</v>
      </c>
      <c r="X23" s="71">
        <f>VLOOKUP($B23,[1]Sheet8!$D$2:$E$93,2,0)</f>
        <v>1694</v>
      </c>
      <c r="Y23" s="71">
        <f>VLOOKUP($B23,[1]Sheet8!$P$3:$Q$94,2,0)</f>
        <v>3615</v>
      </c>
      <c r="Z23" s="71">
        <f>VLOOKUP($B23,[1]Sheet8!$J$3:$K$94,2,0)</f>
        <v>464</v>
      </c>
      <c r="AA23" s="71">
        <f>VLOOKUP($B23,[1]Sheet7!$H$2:$M$93,6,0)</f>
        <v>39208</v>
      </c>
      <c r="AB23" s="57">
        <v>2508.5814285715201</v>
      </c>
      <c r="AC23" s="57">
        <v>2508.5814285715201</v>
      </c>
      <c r="AD23" s="75">
        <v>0</v>
      </c>
      <c r="AE23" s="57">
        <f t="shared" si="4"/>
        <v>2759.4395714286725</v>
      </c>
      <c r="AF23" s="75">
        <v>1.1000000000000001</v>
      </c>
      <c r="AG23" s="77">
        <f>VLOOKUP($B23,[2]Sheet1!$E$2:$I$96,4,0)</f>
        <v>2038</v>
      </c>
      <c r="AH23" s="77">
        <f>VLOOKUP($B23,[2]Sheet1!$E$2:$I$96,5,0)</f>
        <v>315</v>
      </c>
      <c r="AI23" s="77">
        <f t="shared" si="5"/>
        <v>14266</v>
      </c>
      <c r="AJ23" s="61">
        <f t="shared" si="6"/>
        <v>2205</v>
      </c>
      <c r="AK23" s="61">
        <f>VLOOKUP(B23,[2]Sheet9!$D$2:$F$94,3,0)</f>
        <v>117</v>
      </c>
      <c r="AL23" s="61">
        <f>VLOOKUP(B23,[2]Sheet9!$J$3:$L$95,3,0)</f>
        <v>43</v>
      </c>
      <c r="AM23" s="61">
        <f>VLOOKUP(B23,[2]Sheet9!$P$3:$R$95,3,0)</f>
        <v>155</v>
      </c>
      <c r="AN23" s="70">
        <f t="shared" si="7"/>
        <v>6641.7200000029407</v>
      </c>
      <c r="AO23" s="71">
        <f t="shared" si="8"/>
        <v>830.21500000036758</v>
      </c>
      <c r="AP23" s="71">
        <f t="shared" si="9"/>
        <v>-99.714285714285779</v>
      </c>
      <c r="AQ23" s="71">
        <f t="shared" si="10"/>
        <v>108.85714285714289</v>
      </c>
      <c r="AR23" s="71">
        <f t="shared" si="11"/>
        <v>-1060.1428571428573</v>
      </c>
      <c r="AS23" s="61" t="str">
        <f t="shared" si="12"/>
        <v>Normal</v>
      </c>
      <c r="AT23" s="57">
        <v>17560.070000000698</v>
      </c>
      <c r="AU23" s="57">
        <f t="shared" si="13"/>
        <v>17560.07000000064</v>
      </c>
      <c r="AV23" s="57">
        <f t="shared" si="14"/>
        <v>15254.221000000191</v>
      </c>
      <c r="AW23" s="57">
        <v>17560.070000000698</v>
      </c>
      <c r="AX23" s="57">
        <f>AI23*1.3</f>
        <v>18545.8</v>
      </c>
      <c r="AY23" s="61">
        <f t="shared" si="15"/>
        <v>2195.0087500000873</v>
      </c>
      <c r="AZ23" s="61">
        <f>IFERROR(VLOOKUP(B23,[3]Sheet2!$E$4:$F$17,2,0),0)</f>
        <v>0</v>
      </c>
      <c r="BA23" s="61">
        <f t="shared" si="32"/>
        <v>2195.00875000008</v>
      </c>
      <c r="BB23" s="61">
        <f t="shared" si="29"/>
        <v>1906.7776250000238</v>
      </c>
      <c r="BC23" s="61">
        <f t="shared" si="30"/>
        <v>2195.0087500000873</v>
      </c>
      <c r="BD23" s="61">
        <f t="shared" si="31"/>
        <v>2318.2249999999999</v>
      </c>
      <c r="BE23" s="61">
        <f t="shared" si="17"/>
        <v>365.83479166668121</v>
      </c>
      <c r="BF23" s="61">
        <f t="shared" si="18"/>
        <v>365.83479166668002</v>
      </c>
      <c r="BG23" s="61">
        <f t="shared" si="19"/>
        <v>317.7962708333373</v>
      </c>
      <c r="BH23" s="61">
        <f t="shared" si="20"/>
        <v>365.83479166668121</v>
      </c>
      <c r="BI23" s="61">
        <f t="shared" si="21"/>
        <v>386.37083333333334</v>
      </c>
      <c r="BJ23" s="61">
        <f t="shared" si="22"/>
        <v>1.8291739583334061</v>
      </c>
      <c r="BK23" s="61">
        <f t="shared" si="23"/>
        <v>1.8291739583333999</v>
      </c>
      <c r="BL23" s="61">
        <f t="shared" si="24"/>
        <v>1.5889813541666866</v>
      </c>
      <c r="BM23" s="61">
        <f t="shared" si="25"/>
        <v>1.8291739583334061</v>
      </c>
      <c r="BN23" s="61">
        <f t="shared" si="26"/>
        <v>1.9318541666666667</v>
      </c>
      <c r="BO23">
        <f t="shared" si="27"/>
        <v>306881.39528571389</v>
      </c>
      <c r="BP23" s="42">
        <f t="shared" si="28"/>
        <v>2318.2249999999999</v>
      </c>
      <c r="BQ23" s="42">
        <f>ROUNDUP(AK23,-1)-100</f>
        <v>20</v>
      </c>
      <c r="BR23" s="42">
        <f t="shared" si="33"/>
        <v>50</v>
      </c>
      <c r="BS23" s="42">
        <f>ROUNDUP(AM23,-1)-100</f>
        <v>60</v>
      </c>
      <c r="BT23">
        <f>VLOOKUP($B23,'[4]Food Monitor'!$A$4:$AD$95,16,0)</f>
        <v>300</v>
      </c>
      <c r="BU23">
        <f>VLOOKUP($B23,'[4]Food Monitor'!$A$4:$AD$95,27,0)</f>
        <v>90</v>
      </c>
    </row>
    <row r="24" spans="1:73" ht="16.5" hidden="1">
      <c r="A24" s="51" t="s">
        <v>105</v>
      </c>
      <c r="B24" s="51" t="s">
        <v>156</v>
      </c>
      <c r="C24" s="52" t="s">
        <v>157</v>
      </c>
      <c r="D24" s="51" t="s">
        <v>20</v>
      </c>
      <c r="E24" s="59" t="s">
        <v>20</v>
      </c>
      <c r="F24" s="59" t="s">
        <v>108</v>
      </c>
      <c r="G24" s="63">
        <v>398</v>
      </c>
      <c r="H24" s="61" t="s">
        <v>121</v>
      </c>
      <c r="I24" s="61" t="s">
        <v>110</v>
      </c>
      <c r="J24" s="70">
        <v>232901.65</v>
      </c>
      <c r="K24" s="70">
        <f t="shared" si="0"/>
        <v>267926.13000000123</v>
      </c>
      <c r="L24" s="71">
        <f t="shared" si="1"/>
        <v>93.095546315031214</v>
      </c>
      <c r="M24" s="71">
        <v>2340</v>
      </c>
      <c r="N24" s="71">
        <v>270</v>
      </c>
      <c r="O24" s="71">
        <v>1408</v>
      </c>
      <c r="P24" s="51">
        <f t="shared" si="2"/>
        <v>20</v>
      </c>
      <c r="Q24" s="73">
        <v>45191</v>
      </c>
      <c r="R24" s="73">
        <v>45211</v>
      </c>
      <c r="S24" s="70">
        <f>VLOOKUP(B24,[1]Sheet7!$H$2:$M$93,5,0)</f>
        <v>378371.18999999645</v>
      </c>
      <c r="T24" s="71">
        <f t="shared" si="3"/>
        <v>192.16413915693064</v>
      </c>
      <c r="U24" s="70">
        <f>VLOOKUP($B24,[1]Sheet7!$H$2:$M$93,4,0)</f>
        <v>351995.22999999649</v>
      </c>
      <c r="V24" s="70">
        <f>VLOOKUP($B24,[1]Sheet7!$H$2:$M$93,2,0)</f>
        <v>26954.96000000001</v>
      </c>
      <c r="W24" s="70">
        <f>VLOOKUP($B24,[1]Sheet7!$H$2:$M$93,3,0)</f>
        <v>0</v>
      </c>
      <c r="X24" s="71">
        <f>VLOOKUP($B24,[1]Sheet8!$D$2:$E$93,2,0)</f>
        <v>2021</v>
      </c>
      <c r="Y24" s="71">
        <f>VLOOKUP($B24,[1]Sheet8!$P$3:$Q$94,2,0)</f>
        <v>2388</v>
      </c>
      <c r="Z24" s="71">
        <f>VLOOKUP($B24,[1]Sheet8!$J$3:$K$94,2,0)</f>
        <v>474</v>
      </c>
      <c r="AA24" s="71">
        <f>VLOOKUP($B24,[1]Sheet7!$H$2:$M$93,6,0)</f>
        <v>53639</v>
      </c>
      <c r="AB24" s="57">
        <v>2501.7485714286599</v>
      </c>
      <c r="AC24" s="57">
        <v>2766.84886314919</v>
      </c>
      <c r="AD24" s="76">
        <v>0.105966001039483</v>
      </c>
      <c r="AE24" s="57">
        <f t="shared" si="4"/>
        <v>3043.5337494641094</v>
      </c>
      <c r="AF24" s="75">
        <v>1.1000000000000001</v>
      </c>
      <c r="AG24" s="77">
        <f>VLOOKUP($B24,[2]Sheet1!$E$2:$I$96,4,0)</f>
        <v>1969</v>
      </c>
      <c r="AH24" s="77">
        <f>VLOOKUP($B24,[2]Sheet1!$E$2:$I$96,5,0)</f>
        <v>313</v>
      </c>
      <c r="AI24" s="77">
        <f t="shared" si="5"/>
        <v>13783</v>
      </c>
      <c r="AJ24" s="61">
        <f t="shared" si="6"/>
        <v>2191</v>
      </c>
      <c r="AK24" s="61">
        <f>VLOOKUP(B24,[2]Sheet9!$D$2:$F$94,3,0)</f>
        <v>139</v>
      </c>
      <c r="AL24" s="61">
        <f>VLOOKUP(B24,[2]Sheet9!$J$3:$L$95,3,0)</f>
        <v>26</v>
      </c>
      <c r="AM24" s="61">
        <f>VLOOKUP(B24,[2]Sheet9!$P$3:$R$95,3,0)</f>
        <v>96</v>
      </c>
      <c r="AN24" s="70">
        <f t="shared" si="7"/>
        <v>-29261.887747730478</v>
      </c>
      <c r="AO24" s="71">
        <f t="shared" si="8"/>
        <v>0</v>
      </c>
      <c r="AP24" s="71">
        <f t="shared" si="9"/>
        <v>716.14285714285734</v>
      </c>
      <c r="AQ24" s="71">
        <f t="shared" si="10"/>
        <v>-129.71428571428572</v>
      </c>
      <c r="AR24" s="71">
        <f t="shared" si="11"/>
        <v>-705.71428571428578</v>
      </c>
      <c r="AS24" s="61" t="str">
        <f t="shared" si="12"/>
        <v>Full of Stock Risk</v>
      </c>
      <c r="AT24" s="57">
        <v>18307.540875162202</v>
      </c>
      <c r="AU24" s="57">
        <f>AG24*7</f>
        <v>13783</v>
      </c>
      <c r="AV24" s="57">
        <f t="shared" si="14"/>
        <v>15458.482612613298</v>
      </c>
      <c r="AW24" s="57">
        <v>19367.942042044298</v>
      </c>
      <c r="AX24" s="57">
        <f>AI24*1.3</f>
        <v>17917.900000000001</v>
      </c>
      <c r="AY24" s="61">
        <f t="shared" si="15"/>
        <v>2288.4426093952752</v>
      </c>
      <c r="AZ24" s="61">
        <f>IFERROR(VLOOKUP(B24,[3]Sheet2!$E$4:$F$17,2,0),0)</f>
        <v>0</v>
      </c>
      <c r="BA24" s="61">
        <f t="shared" si="32"/>
        <v>1722.875</v>
      </c>
      <c r="BB24" s="61">
        <f t="shared" si="29"/>
        <v>1932.3103265766622</v>
      </c>
      <c r="BC24" s="61">
        <f t="shared" si="30"/>
        <v>2420.9927552555373</v>
      </c>
      <c r="BD24" s="61">
        <f t="shared" si="31"/>
        <v>2239.7375000000002</v>
      </c>
      <c r="BE24" s="61">
        <f t="shared" si="17"/>
        <v>381.4071015658792</v>
      </c>
      <c r="BF24" s="61">
        <f t="shared" si="18"/>
        <v>287.14583333333331</v>
      </c>
      <c r="BG24" s="61">
        <f t="shared" si="19"/>
        <v>322.05172109611038</v>
      </c>
      <c r="BH24" s="61">
        <f t="shared" si="20"/>
        <v>403.49879254258957</v>
      </c>
      <c r="BI24" s="61">
        <f t="shared" si="21"/>
        <v>373.28958333333338</v>
      </c>
      <c r="BJ24" s="61">
        <f t="shared" si="22"/>
        <v>1.9070355078293959</v>
      </c>
      <c r="BK24" s="61">
        <f t="shared" si="23"/>
        <v>1.4357291666666667</v>
      </c>
      <c r="BL24" s="61">
        <f t="shared" si="24"/>
        <v>1.6102586054805519</v>
      </c>
      <c r="BM24" s="61">
        <f t="shared" si="25"/>
        <v>2.0174939627129476</v>
      </c>
      <c r="BN24" s="61">
        <f t="shared" si="26"/>
        <v>1.8664479166666668</v>
      </c>
      <c r="BO24">
        <f t="shared" si="27"/>
        <v>357684.85249248263</v>
      </c>
      <c r="BP24" s="42">
        <f t="shared" si="28"/>
        <v>2239.7375000000002</v>
      </c>
      <c r="BQ24" s="42">
        <f>ROUNDUP(AK24,-1)</f>
        <v>140</v>
      </c>
      <c r="BR24" s="42">
        <v>0</v>
      </c>
      <c r="BS24" s="42">
        <f>ROUNDUP(AM24,-1)-50</f>
        <v>50</v>
      </c>
      <c r="BT24">
        <f>VLOOKUP($B24,'[4]Food Monitor'!$A$4:$AD$95,16,0)</f>
        <v>150</v>
      </c>
      <c r="BU24">
        <f>VLOOKUP($B24,'[4]Food Monitor'!$A$4:$AD$95,27,0)</f>
        <v>110</v>
      </c>
    </row>
    <row r="25" spans="1:73" ht="16.5" hidden="1">
      <c r="A25" s="51" t="s">
        <v>105</v>
      </c>
      <c r="B25" s="51" t="s">
        <v>158</v>
      </c>
      <c r="C25" s="52" t="s">
        <v>159</v>
      </c>
      <c r="D25" s="51" t="s">
        <v>20</v>
      </c>
      <c r="E25" s="59" t="s">
        <v>20</v>
      </c>
      <c r="F25" s="59" t="s">
        <v>108</v>
      </c>
      <c r="G25" s="63">
        <v>311</v>
      </c>
      <c r="H25" s="61" t="s">
        <v>109</v>
      </c>
      <c r="I25" s="61" t="s">
        <v>113</v>
      </c>
      <c r="J25" s="70">
        <v>214041.21</v>
      </c>
      <c r="K25" s="70">
        <f t="shared" si="0"/>
        <v>259796.32000000036</v>
      </c>
      <c r="L25" s="71">
        <f t="shared" si="1"/>
        <v>65.491634486289612</v>
      </c>
      <c r="M25" s="71">
        <v>1260</v>
      </c>
      <c r="N25" s="71">
        <v>180</v>
      </c>
      <c r="O25" s="71">
        <v>2112</v>
      </c>
      <c r="P25" s="51">
        <f t="shared" si="2"/>
        <v>20</v>
      </c>
      <c r="Q25" s="73">
        <v>45191</v>
      </c>
      <c r="R25" s="73">
        <v>45211</v>
      </c>
      <c r="S25" s="70">
        <f>VLOOKUP(B25,[1]Sheet7!$H$2:$M$93,5,0)</f>
        <v>337092.47</v>
      </c>
      <c r="T25" s="71">
        <f t="shared" si="3"/>
        <v>114.50151834239129</v>
      </c>
      <c r="U25" s="70">
        <f>VLOOKUP($B25,[1]Sheet7!$H$2:$M$93,4,0)</f>
        <v>312655.49999999953</v>
      </c>
      <c r="V25" s="70">
        <f>VLOOKUP($B25,[1]Sheet7!$H$2:$M$93,2,0)</f>
        <v>24400.209999999992</v>
      </c>
      <c r="W25" s="70">
        <f>VLOOKUP($B25,[1]Sheet7!$H$2:$M$93,3,0)</f>
        <v>0</v>
      </c>
      <c r="X25" s="71">
        <f>VLOOKUP($B25,[1]Sheet8!$D$2:$E$93,2,0)</f>
        <v>2915</v>
      </c>
      <c r="Y25" s="71">
        <f>VLOOKUP($B25,[1]Sheet8!$P$3:$Q$94,2,0)</f>
        <v>2768</v>
      </c>
      <c r="Z25" s="71">
        <f>VLOOKUP($B25,[1]Sheet8!$J$3:$K$94,2,0)</f>
        <v>378</v>
      </c>
      <c r="AA25" s="71">
        <f>VLOOKUP($B25,[1]Sheet7!$H$2:$M$93,6,0)</f>
        <v>41913</v>
      </c>
      <c r="AB25" s="57">
        <v>3268.2221428571702</v>
      </c>
      <c r="AC25" s="57">
        <v>3366.3137506222401</v>
      </c>
      <c r="AD25" s="76">
        <v>3.0013751659889499E-2</v>
      </c>
      <c r="AE25" s="57">
        <f t="shared" si="4"/>
        <v>3702.9451256844645</v>
      </c>
      <c r="AF25" s="75">
        <v>1.1000000000000001</v>
      </c>
      <c r="AG25" s="77">
        <f>VLOOKUP($B25,[2]Sheet1!$E$2:$I$96,4,0)</f>
        <v>2944</v>
      </c>
      <c r="AH25" s="77">
        <f>VLOOKUP($B25,[2]Sheet1!$E$2:$I$96,5,0)</f>
        <v>444</v>
      </c>
      <c r="AI25" s="77">
        <f t="shared" si="5"/>
        <v>20608</v>
      </c>
      <c r="AJ25" s="61">
        <f t="shared" si="6"/>
        <v>3108</v>
      </c>
      <c r="AK25" s="61">
        <f>VLOOKUP(B25,[2]Sheet9!$D$2:$F$94,3,0)</f>
        <v>220</v>
      </c>
      <c r="AL25" s="61">
        <f>VLOOKUP(B25,[2]Sheet9!$J$3:$L$95,3,0)</f>
        <v>60</v>
      </c>
      <c r="AM25" s="61">
        <f>VLOOKUP(B25,[2]Sheet9!$P$3:$R$95,3,0)</f>
        <v>241</v>
      </c>
      <c r="AN25" s="70">
        <f t="shared" si="7"/>
        <v>18333.917526134115</v>
      </c>
      <c r="AO25" s="71">
        <f t="shared" si="8"/>
        <v>2291.7396907667644</v>
      </c>
      <c r="AP25" s="71">
        <f t="shared" si="9"/>
        <v>-1026.4285714285716</v>
      </c>
      <c r="AQ25" s="71">
        <f t="shared" si="10"/>
        <v>-26.571428571428555</v>
      </c>
      <c r="AR25" s="71">
        <f t="shared" si="11"/>
        <v>32.571428571428442</v>
      </c>
      <c r="AS25" s="61" t="str">
        <f t="shared" si="12"/>
        <v>Out of Stock Risk</v>
      </c>
      <c r="AT25" s="57">
        <v>23171.8298232954</v>
      </c>
      <c r="AU25" s="57">
        <f>AC25*7</f>
        <v>23564.19625435568</v>
      </c>
      <c r="AV25" s="57">
        <f t="shared" si="14"/>
        <v>21494.858876306702</v>
      </c>
      <c r="AW25" s="57">
        <v>23564.196254355698</v>
      </c>
      <c r="AX25" s="57">
        <f>AI25*1.22</f>
        <v>25141.759999999998</v>
      </c>
      <c r="AY25" s="61">
        <f t="shared" si="15"/>
        <v>2896.478727911925</v>
      </c>
      <c r="AZ25" s="61">
        <f>IFERROR(VLOOKUP(B25,[3]Sheet2!$E$4:$F$17,2,0),0)</f>
        <v>0</v>
      </c>
      <c r="BA25" s="61">
        <f t="shared" si="32"/>
        <v>2945.52453179446</v>
      </c>
      <c r="BB25" s="61">
        <f t="shared" si="29"/>
        <v>2686.8573595383377</v>
      </c>
      <c r="BC25" s="61">
        <f t="shared" si="30"/>
        <v>2945.5245317944623</v>
      </c>
      <c r="BD25" s="61">
        <f t="shared" si="31"/>
        <v>3142.72</v>
      </c>
      <c r="BE25" s="61">
        <f t="shared" si="17"/>
        <v>482.74645465198751</v>
      </c>
      <c r="BF25" s="61">
        <f t="shared" si="18"/>
        <v>490.92075529907669</v>
      </c>
      <c r="BG25" s="61">
        <f t="shared" si="19"/>
        <v>447.80955992305627</v>
      </c>
      <c r="BH25" s="61">
        <f t="shared" si="20"/>
        <v>490.92075529907703</v>
      </c>
      <c r="BI25" s="61">
        <f t="shared" si="21"/>
        <v>523.78666666666663</v>
      </c>
      <c r="BJ25" s="61">
        <f t="shared" si="22"/>
        <v>2.4137322732599373</v>
      </c>
      <c r="BK25" s="61">
        <f t="shared" si="23"/>
        <v>2.4546037764953832</v>
      </c>
      <c r="BL25" s="61">
        <f t="shared" si="24"/>
        <v>2.2390477996152813</v>
      </c>
      <c r="BM25" s="61">
        <f t="shared" si="25"/>
        <v>2.4546037764953854</v>
      </c>
      <c r="BN25" s="61">
        <f t="shared" si="26"/>
        <v>2.6189333333333331</v>
      </c>
      <c r="BO25">
        <f t="shared" si="27"/>
        <v>323625.89940393169</v>
      </c>
      <c r="BP25" s="42">
        <f t="shared" si="28"/>
        <v>3142.72</v>
      </c>
      <c r="BQ25" s="42">
        <f>ROUNDUP(AK25,-1)-100</f>
        <v>120</v>
      </c>
      <c r="BR25" s="42">
        <f>ROUNDUP(AL25,-1)-20</f>
        <v>40</v>
      </c>
      <c r="BS25" s="42">
        <f>ROUNDUP(AM25,-2)</f>
        <v>300</v>
      </c>
      <c r="BT25">
        <f>VLOOKUP($B25,'[4]Food Monitor'!$A$4:$AD$95,16,0)</f>
        <v>300</v>
      </c>
      <c r="BU25">
        <f>VLOOKUP($B25,'[4]Food Monitor'!$A$4:$AD$95,27,0)</f>
        <v>150</v>
      </c>
    </row>
    <row r="26" spans="1:73" ht="16.5" hidden="1">
      <c r="A26" s="51" t="s">
        <v>105</v>
      </c>
      <c r="B26" s="51" t="s">
        <v>160</v>
      </c>
      <c r="C26" s="52" t="s">
        <v>161</v>
      </c>
      <c r="D26" s="51" t="s">
        <v>20</v>
      </c>
      <c r="E26" s="59" t="s">
        <v>20</v>
      </c>
      <c r="F26" s="59" t="s">
        <v>108</v>
      </c>
      <c r="G26" s="63">
        <v>325.60000000000002</v>
      </c>
      <c r="H26" s="61" t="s">
        <v>109</v>
      </c>
      <c r="I26" s="61" t="s">
        <v>128</v>
      </c>
      <c r="J26" s="70">
        <v>203364.25</v>
      </c>
      <c r="K26" s="70">
        <f t="shared" si="0"/>
        <v>249394.28000000035</v>
      </c>
      <c r="L26" s="71">
        <f t="shared" si="1"/>
        <v>61.853088081845243</v>
      </c>
      <c r="M26" s="71">
        <v>1440</v>
      </c>
      <c r="N26" s="71">
        <v>450</v>
      </c>
      <c r="O26" s="71">
        <v>2112</v>
      </c>
      <c r="P26" s="51">
        <f t="shared" si="2"/>
        <v>20</v>
      </c>
      <c r="Q26" s="73">
        <v>45191</v>
      </c>
      <c r="R26" s="73">
        <v>45211</v>
      </c>
      <c r="S26" s="70">
        <f>VLOOKUP(B26,[1]Sheet7!$H$2:$M$93,5,0)</f>
        <v>342269.23000000155</v>
      </c>
      <c r="T26" s="71">
        <f t="shared" si="3"/>
        <v>131.74335257890746</v>
      </c>
      <c r="U26" s="70">
        <f>VLOOKUP($B26,[1]Sheet7!$H$2:$M$93,4,0)</f>
        <v>248906.72000000032</v>
      </c>
      <c r="V26" s="70">
        <f>VLOOKUP($B26,[1]Sheet7!$H$2:$M$93,2,0)</f>
        <v>93672.519999999771</v>
      </c>
      <c r="W26" s="70">
        <f>VLOOKUP($B26,[1]Sheet7!$H$2:$M$93,3,0)</f>
        <v>0</v>
      </c>
      <c r="X26" s="71">
        <f>VLOOKUP($B26,[1]Sheet8!$D$2:$E$93,2,0)</f>
        <v>1948</v>
      </c>
      <c r="Y26" s="71">
        <f>VLOOKUP($B26,[1]Sheet8!$P$3:$Q$94,2,0)</f>
        <v>3248</v>
      </c>
      <c r="Z26" s="71">
        <f>VLOOKUP($B26,[1]Sheet8!$J$3:$K$94,2,0)</f>
        <v>586</v>
      </c>
      <c r="AA26" s="71">
        <f>VLOOKUP($B26,[1]Sheet7!$H$2:$M$93,6,0)</f>
        <v>41686</v>
      </c>
      <c r="AB26" s="57">
        <v>3287.8592857143099</v>
      </c>
      <c r="AC26" s="57">
        <v>3287.8592857143099</v>
      </c>
      <c r="AD26" s="75">
        <v>0</v>
      </c>
      <c r="AE26" s="57">
        <f t="shared" si="4"/>
        <v>3616.6452142857411</v>
      </c>
      <c r="AF26" s="75">
        <v>1.1000000000000001</v>
      </c>
      <c r="AG26" s="77">
        <f>VLOOKUP($B26,[2]Sheet1!$E$2:$I$96,4,0)</f>
        <v>2598</v>
      </c>
      <c r="AH26" s="77">
        <f>VLOOKUP($B26,[2]Sheet1!$E$2:$I$96,5,0)</f>
        <v>414</v>
      </c>
      <c r="AI26" s="77">
        <f t="shared" si="5"/>
        <v>18186</v>
      </c>
      <c r="AJ26" s="61">
        <f t="shared" si="6"/>
        <v>2898</v>
      </c>
      <c r="AK26" s="61">
        <f>VLOOKUP(B26,[2]Sheet9!$D$2:$F$94,3,0)</f>
        <v>162</v>
      </c>
      <c r="AL26" s="61">
        <f>VLOOKUP(B26,[2]Sheet9!$J$3:$L$95,3,0)</f>
        <v>39</v>
      </c>
      <c r="AM26" s="61">
        <f>VLOOKUP(B26,[2]Sheet9!$P$3:$R$95,3,0)</f>
        <v>173</v>
      </c>
      <c r="AN26" s="70">
        <f t="shared" si="7"/>
        <v>-814.89000000053784</v>
      </c>
      <c r="AO26" s="71">
        <f t="shared" si="8"/>
        <v>0</v>
      </c>
      <c r="AP26" s="71">
        <f t="shared" si="9"/>
        <v>-45.14285714285711</v>
      </c>
      <c r="AQ26" s="71">
        <f t="shared" si="10"/>
        <v>-24.571428571428555</v>
      </c>
      <c r="AR26" s="71">
        <f t="shared" si="11"/>
        <v>-641.71428571428578</v>
      </c>
      <c r="AS26" s="61" t="str">
        <f t="shared" si="12"/>
        <v>Normal</v>
      </c>
      <c r="AT26" s="57">
        <v>23015.0150000002</v>
      </c>
      <c r="AU26" s="57">
        <f>AC26*7</f>
        <v>23015.01500000017</v>
      </c>
      <c r="AV26" s="57">
        <f t="shared" si="14"/>
        <v>19634.704500000051</v>
      </c>
      <c r="AW26" s="57">
        <v>23015.0150000002</v>
      </c>
      <c r="AX26" s="57">
        <f>AI26*1.3</f>
        <v>23641.8</v>
      </c>
      <c r="AY26" s="61">
        <f t="shared" si="15"/>
        <v>2876.8768750000249</v>
      </c>
      <c r="AZ26" s="61">
        <f>IFERROR(VLOOKUP(B26,[3]Sheet2!$E$4:$F$17,2,0),0)</f>
        <v>0</v>
      </c>
      <c r="BA26" s="61">
        <f t="shared" si="32"/>
        <v>2876.8768750000213</v>
      </c>
      <c r="BB26" s="61">
        <f t="shared" si="29"/>
        <v>2454.3380625000063</v>
      </c>
      <c r="BC26" s="61">
        <f t="shared" si="30"/>
        <v>2876.8768750000249</v>
      </c>
      <c r="BD26" s="61">
        <f t="shared" si="31"/>
        <v>2955.2249999999999</v>
      </c>
      <c r="BE26" s="61">
        <f t="shared" si="17"/>
        <v>479.47947916667084</v>
      </c>
      <c r="BF26" s="61">
        <f t="shared" si="18"/>
        <v>479.47947916667022</v>
      </c>
      <c r="BG26" s="61">
        <f t="shared" si="19"/>
        <v>409.05634375000108</v>
      </c>
      <c r="BH26" s="61">
        <f t="shared" si="20"/>
        <v>479.47947916667084</v>
      </c>
      <c r="BI26" s="61">
        <f t="shared" si="21"/>
        <v>492.53749999999997</v>
      </c>
      <c r="BJ26" s="61">
        <f t="shared" si="22"/>
        <v>2.3973973958333543</v>
      </c>
      <c r="BK26" s="61">
        <f t="shared" si="23"/>
        <v>2.3973973958333512</v>
      </c>
      <c r="BL26" s="61">
        <f t="shared" si="24"/>
        <v>2.0452817187500054</v>
      </c>
      <c r="BM26" s="61">
        <f t="shared" si="25"/>
        <v>2.3973973958333543</v>
      </c>
      <c r="BN26" s="61">
        <f t="shared" si="26"/>
        <v>2.4626874999999999</v>
      </c>
      <c r="BO26">
        <f t="shared" si="27"/>
        <v>326364.26735714404</v>
      </c>
      <c r="BP26" s="42">
        <f t="shared" si="28"/>
        <v>2955.2249999999999</v>
      </c>
      <c r="BQ26" s="42">
        <f>ROUNDUP(AK26,-1)-50</f>
        <v>120</v>
      </c>
      <c r="BR26" s="42">
        <f>ROUNDUP(AL26,-1)-20</f>
        <v>20</v>
      </c>
      <c r="BS26" s="42">
        <f>ROUNDUP(AM26,-1)-50</f>
        <v>130</v>
      </c>
      <c r="BT26">
        <f>VLOOKUP($B26,'[4]Food Monitor'!$A$4:$AD$95,16,0)</f>
        <v>200</v>
      </c>
      <c r="BU26">
        <f>VLOOKUP($B26,'[4]Food Monitor'!$A$4:$AD$95,27,0)</f>
        <v>50</v>
      </c>
    </row>
    <row r="27" spans="1:73" ht="16.5" hidden="1">
      <c r="A27" s="51" t="s">
        <v>105</v>
      </c>
      <c r="B27" s="51" t="s">
        <v>162</v>
      </c>
      <c r="C27" s="52" t="s">
        <v>163</v>
      </c>
      <c r="D27" s="51" t="s">
        <v>20</v>
      </c>
      <c r="E27" s="59" t="s">
        <v>20</v>
      </c>
      <c r="F27" s="59" t="s">
        <v>108</v>
      </c>
      <c r="G27" s="63">
        <v>345</v>
      </c>
      <c r="H27" s="61" t="s">
        <v>121</v>
      </c>
      <c r="I27" s="61" t="s">
        <v>110</v>
      </c>
      <c r="J27" s="70">
        <v>200256.62</v>
      </c>
      <c r="K27" s="70">
        <f t="shared" si="0"/>
        <v>227930.76000000103</v>
      </c>
      <c r="L27" s="71">
        <f t="shared" si="1"/>
        <v>101.30731000131873</v>
      </c>
      <c r="M27" s="71">
        <v>2700</v>
      </c>
      <c r="N27" s="71">
        <v>540</v>
      </c>
      <c r="O27" s="71">
        <v>1408</v>
      </c>
      <c r="P27" s="51">
        <f t="shared" si="2"/>
        <v>20</v>
      </c>
      <c r="Q27" s="73">
        <v>45191</v>
      </c>
      <c r="R27" s="73">
        <v>45211</v>
      </c>
      <c r="S27" s="70">
        <f>VLOOKUP(B27,[1]Sheet7!$H$2:$M$93,5,0)</f>
        <v>362822.30000000051</v>
      </c>
      <c r="T27" s="71">
        <f t="shared" si="3"/>
        <v>215.58068924539543</v>
      </c>
      <c r="U27" s="70">
        <f>VLOOKUP($B27,[1]Sheet7!$H$2:$M$93,4,0)</f>
        <v>306860.3299999992</v>
      </c>
      <c r="V27" s="70">
        <f>VLOOKUP($B27,[1]Sheet7!$H$2:$M$93,2,0)</f>
        <v>56257.1</v>
      </c>
      <c r="W27" s="70">
        <f>VLOOKUP($B27,[1]Sheet7!$H$2:$M$93,3,0)</f>
        <v>0</v>
      </c>
      <c r="X27" s="71">
        <f>VLOOKUP($B27,[1]Sheet8!$D$2:$E$93,2,0)</f>
        <v>2938</v>
      </c>
      <c r="Y27" s="71">
        <f>VLOOKUP($B27,[1]Sheet8!$P$3:$Q$94,2,0)</f>
        <v>2293</v>
      </c>
      <c r="Z27" s="71">
        <f>VLOOKUP($B27,[1]Sheet8!$J$3:$K$94,2,0)</f>
        <v>468</v>
      </c>
      <c r="AA27" s="71">
        <f>VLOOKUP($B27,[1]Sheet7!$H$2:$M$93,6,0)</f>
        <v>46848</v>
      </c>
      <c r="AB27" s="57">
        <v>1976.7242857143599</v>
      </c>
      <c r="AC27" s="57">
        <v>1976.7242857143599</v>
      </c>
      <c r="AD27" s="75">
        <v>0</v>
      </c>
      <c r="AE27" s="57">
        <f t="shared" si="4"/>
        <v>2174.396714285796</v>
      </c>
      <c r="AF27" s="75">
        <v>1.1000000000000001</v>
      </c>
      <c r="AG27" s="77">
        <f>VLOOKUP($B27,[2]Sheet1!$E$2:$I$96,4,0)</f>
        <v>1683</v>
      </c>
      <c r="AH27" s="77">
        <f>VLOOKUP($B27,[2]Sheet1!$E$2:$I$96,5,0)</f>
        <v>248</v>
      </c>
      <c r="AI27" s="77">
        <f t="shared" si="5"/>
        <v>11781</v>
      </c>
      <c r="AJ27" s="61">
        <f t="shared" si="6"/>
        <v>1736</v>
      </c>
      <c r="AK27" s="61">
        <f>VLOOKUP(B27,[2]Sheet9!$D$2:$F$94,3,0)</f>
        <v>131</v>
      </c>
      <c r="AL27" s="61">
        <f>VLOOKUP(B27,[2]Sheet9!$J$3:$L$95,3,0)</f>
        <v>25</v>
      </c>
      <c r="AM27" s="61">
        <f>VLOOKUP(B27,[2]Sheet9!$P$3:$R$95,3,0)</f>
        <v>100</v>
      </c>
      <c r="AN27" s="70">
        <f t="shared" si="7"/>
        <v>-79543.259999997448</v>
      </c>
      <c r="AO27" s="71">
        <f t="shared" si="8"/>
        <v>0</v>
      </c>
      <c r="AP27" s="71">
        <f t="shared" si="9"/>
        <v>136.28571428571422</v>
      </c>
      <c r="AQ27" s="71">
        <f t="shared" si="10"/>
        <v>143.42857142857144</v>
      </c>
      <c r="AR27" s="71">
        <f t="shared" si="11"/>
        <v>-599.28571428571422</v>
      </c>
      <c r="AS27" s="61" t="str">
        <f t="shared" si="12"/>
        <v>Full of Stock Risk</v>
      </c>
      <c r="AT27" s="57">
        <v>13837.0700000006</v>
      </c>
      <c r="AU27" s="57">
        <f>AG27*7</f>
        <v>11781</v>
      </c>
      <c r="AV27" s="57">
        <f t="shared" si="14"/>
        <v>12397.821000000155</v>
      </c>
      <c r="AW27" s="57">
        <v>13837.0700000006</v>
      </c>
      <c r="AX27" s="57">
        <f>AI27*1.2</f>
        <v>14137.199999999999</v>
      </c>
      <c r="AY27" s="61">
        <f t="shared" si="15"/>
        <v>1729.633750000075</v>
      </c>
      <c r="AZ27" s="61">
        <f>IFERROR(VLOOKUP(B27,[3]Sheet2!$E$4:$F$17,2,0),0)</f>
        <v>0</v>
      </c>
      <c r="BA27" s="61">
        <f t="shared" si="32"/>
        <v>1472.625</v>
      </c>
      <c r="BB27" s="61">
        <f t="shared" si="29"/>
        <v>1549.7276250000193</v>
      </c>
      <c r="BC27" s="61">
        <f t="shared" si="30"/>
        <v>1729.633750000075</v>
      </c>
      <c r="BD27" s="61">
        <f t="shared" si="31"/>
        <v>1767.1499999999999</v>
      </c>
      <c r="BE27" s="61">
        <f t="shared" si="17"/>
        <v>288.27229166667917</v>
      </c>
      <c r="BF27" s="61">
        <f t="shared" si="18"/>
        <v>245.4375</v>
      </c>
      <c r="BG27" s="61">
        <f t="shared" si="19"/>
        <v>258.28793750000324</v>
      </c>
      <c r="BH27" s="61">
        <f t="shared" si="20"/>
        <v>288.27229166667917</v>
      </c>
      <c r="BI27" s="61">
        <f t="shared" si="21"/>
        <v>294.52499999999998</v>
      </c>
      <c r="BJ27" s="61">
        <f t="shared" si="22"/>
        <v>1.4413614583333958</v>
      </c>
      <c r="BK27" s="61">
        <f t="shared" si="23"/>
        <v>1.2271875000000001</v>
      </c>
      <c r="BL27" s="61">
        <f t="shared" si="24"/>
        <v>1.291439687500016</v>
      </c>
      <c r="BM27" s="61">
        <f t="shared" si="25"/>
        <v>1.4413614583333958</v>
      </c>
      <c r="BN27" s="61">
        <f t="shared" si="26"/>
        <v>1.4726249999999999</v>
      </c>
      <c r="BO27">
        <f t="shared" si="27"/>
        <v>351720.21385714185</v>
      </c>
      <c r="BP27" s="42">
        <f t="shared" si="28"/>
        <v>1767.1499999999999</v>
      </c>
      <c r="BQ27" s="42">
        <f>ROUNDUP(AK27,-1)-50</f>
        <v>90</v>
      </c>
      <c r="BR27" s="42">
        <f t="shared" ref="BR27:BR41" si="34">ROUNDUP(AL27,-1)</f>
        <v>30</v>
      </c>
      <c r="BS27" s="42">
        <f>ROUNDUP(AM27,-1)-50</f>
        <v>50</v>
      </c>
      <c r="BT27">
        <f>VLOOKUP($B27,'[4]Food Monitor'!$A$4:$AD$95,16,0)</f>
        <v>200</v>
      </c>
      <c r="BU27">
        <f>VLOOKUP($B27,'[4]Food Monitor'!$A$4:$AD$95,27,0)</f>
        <v>70</v>
      </c>
    </row>
    <row r="28" spans="1:73" ht="16.5" hidden="1">
      <c r="A28" s="51" t="s">
        <v>105</v>
      </c>
      <c r="B28" s="51" t="s">
        <v>164</v>
      </c>
      <c r="C28" s="52" t="s">
        <v>165</v>
      </c>
      <c r="D28" s="51" t="s">
        <v>11</v>
      </c>
      <c r="E28" s="59" t="s">
        <v>17</v>
      </c>
      <c r="F28" s="59" t="s">
        <v>17</v>
      </c>
      <c r="G28" s="63">
        <v>367</v>
      </c>
      <c r="H28" s="61" t="s">
        <v>121</v>
      </c>
      <c r="I28" s="61" t="s">
        <v>166</v>
      </c>
      <c r="J28" s="70">
        <v>210148.96</v>
      </c>
      <c r="K28" s="70">
        <f>J28+21*AB28</f>
        <v>288322.3899999999</v>
      </c>
      <c r="L28" s="71">
        <f t="shared" si="1"/>
        <v>56.453044979605053</v>
      </c>
      <c r="M28" s="71">
        <v>900</v>
      </c>
      <c r="N28" s="71">
        <v>630</v>
      </c>
      <c r="O28" s="71">
        <v>1408</v>
      </c>
      <c r="P28" s="51">
        <f t="shared" si="2"/>
        <v>27</v>
      </c>
      <c r="Q28" s="73">
        <v>45191</v>
      </c>
      <c r="R28" s="73">
        <v>45218</v>
      </c>
      <c r="S28" s="70">
        <f>VLOOKUP(B28,[1]Sheet7!$H$2:$M$93,5,0)</f>
        <v>528502.81000000332</v>
      </c>
      <c r="T28" s="71">
        <f t="shared" si="3"/>
        <v>174.88511250827378</v>
      </c>
      <c r="U28" s="70">
        <f>VLOOKUP($B28,[1]Sheet7!$H$2:$M$93,4,0)</f>
        <v>425567.41000000096</v>
      </c>
      <c r="V28" s="70">
        <f>VLOOKUP($B28,[1]Sheet7!$H$2:$M$93,2,0)</f>
        <v>68687.829999999944</v>
      </c>
      <c r="W28" s="70">
        <f>VLOOKUP($B28,[1]Sheet7!$H$2:$M$93,3,0)</f>
        <v>34450.289999999957</v>
      </c>
      <c r="X28" s="71">
        <f>VLOOKUP($B28,[1]Sheet8!$D$2:$E$93,2,0)</f>
        <v>3486</v>
      </c>
      <c r="Y28" s="71">
        <f>VLOOKUP($B28,[1]Sheet8!$P$3:$Q$94,2,0)</f>
        <v>4132</v>
      </c>
      <c r="Z28" s="71">
        <f>VLOOKUP($B28,[1]Sheet8!$J$3:$K$94,2,0)</f>
        <v>761</v>
      </c>
      <c r="AA28" s="71">
        <f>VLOOKUP($B28,[1]Sheet7!$H$2:$M$93,6,0)</f>
        <v>71078</v>
      </c>
      <c r="AB28" s="57">
        <v>3722.5442857142798</v>
      </c>
      <c r="AC28" s="57">
        <v>3722.5442857142798</v>
      </c>
      <c r="AD28" s="75">
        <v>0</v>
      </c>
      <c r="AE28" s="57">
        <f t="shared" si="4"/>
        <v>4094.7987142857082</v>
      </c>
      <c r="AF28" s="75">
        <v>1.1000000000000001</v>
      </c>
      <c r="AG28" s="77">
        <f>VLOOKUP($B28,[2]Sheet1!$E$2:$I$96,4,0)</f>
        <v>3022</v>
      </c>
      <c r="AH28" s="77">
        <f>VLOOKUP($B28,[2]Sheet1!$E$2:$I$96,5,0)</f>
        <v>399</v>
      </c>
      <c r="AI28" s="77">
        <f t="shared" si="5"/>
        <v>21154</v>
      </c>
      <c r="AJ28" s="61">
        <f t="shared" si="6"/>
        <v>2793</v>
      </c>
      <c r="AK28" s="61">
        <f>VLOOKUP(B28,[2]Sheet9!$D$2:$F$94,3,0)</f>
        <v>167</v>
      </c>
      <c r="AL28" s="61">
        <f>VLOOKUP(B28,[2]Sheet9!$J$3:$L$95,3,0)</f>
        <v>47</v>
      </c>
      <c r="AM28" s="61">
        <f>VLOOKUP(B28,[2]Sheet9!$P$3:$R$95,3,0)</f>
        <v>226</v>
      </c>
      <c r="AN28" s="70">
        <f t="shared" si="7"/>
        <v>-162006.9900000036</v>
      </c>
      <c r="AO28" s="71">
        <f t="shared" si="8"/>
        <v>0</v>
      </c>
      <c r="AP28" s="71">
        <f t="shared" si="9"/>
        <v>-1941.8571428571429</v>
      </c>
      <c r="AQ28" s="71">
        <f t="shared" si="10"/>
        <v>50.285714285714221</v>
      </c>
      <c r="AR28" s="71">
        <f t="shared" si="11"/>
        <v>-1852.2857142857142</v>
      </c>
      <c r="AS28" s="61" t="str">
        <f t="shared" si="12"/>
        <v>Full of Stock Risk</v>
      </c>
      <c r="AT28" s="57">
        <v>26057.809999999899</v>
      </c>
      <c r="AU28" s="57">
        <f>AG28*7</f>
        <v>21154</v>
      </c>
      <c r="AV28" s="57">
        <f t="shared" si="14"/>
        <v>22625.142999999989</v>
      </c>
      <c r="AW28" s="57">
        <v>26057.81</v>
      </c>
      <c r="AX28" s="57">
        <f>AI28*0.4+AC28*7*0.6</f>
        <v>24096.285999999975</v>
      </c>
      <c r="AY28" s="61">
        <f t="shared" si="15"/>
        <v>3257.2262499999874</v>
      </c>
      <c r="AZ28" s="61">
        <f>IFERROR(VLOOKUP(B28,[3]Sheet2!$E$4:$F$17,2,0),0)</f>
        <v>0</v>
      </c>
      <c r="BA28" s="61">
        <f t="shared" si="32"/>
        <v>2644.25</v>
      </c>
      <c r="BB28" s="61">
        <f t="shared" si="29"/>
        <v>2828.1428749999986</v>
      </c>
      <c r="BC28" s="61">
        <f t="shared" si="30"/>
        <v>3257.2262500000002</v>
      </c>
      <c r="BD28" s="61">
        <f t="shared" si="31"/>
        <v>3012.0357499999968</v>
      </c>
      <c r="BE28" s="61">
        <f t="shared" si="17"/>
        <v>542.87104166666461</v>
      </c>
      <c r="BF28" s="61">
        <f t="shared" si="18"/>
        <v>440.70833333333331</v>
      </c>
      <c r="BG28" s="61">
        <f t="shared" si="19"/>
        <v>471.35714583333311</v>
      </c>
      <c r="BH28" s="61">
        <f t="shared" si="20"/>
        <v>542.87104166666666</v>
      </c>
      <c r="BI28" s="61">
        <f t="shared" si="21"/>
        <v>502.00595833333279</v>
      </c>
      <c r="BJ28" s="61">
        <f t="shared" si="22"/>
        <v>2.7143552083333229</v>
      </c>
      <c r="BK28" s="61">
        <f t="shared" si="23"/>
        <v>2.2035416666666667</v>
      </c>
      <c r="BL28" s="61">
        <f t="shared" si="24"/>
        <v>2.3567857291666656</v>
      </c>
      <c r="BM28" s="61">
        <f t="shared" si="25"/>
        <v>2.7143552083333335</v>
      </c>
      <c r="BN28" s="61">
        <f t="shared" si="26"/>
        <v>2.5100297916666641</v>
      </c>
      <c r="BO28">
        <f t="shared" si="27"/>
        <v>503314.63185714628</v>
      </c>
      <c r="BP28" s="42">
        <f t="shared" si="28"/>
        <v>3012.0357499999968</v>
      </c>
      <c r="BQ28" s="42">
        <f>ROUNDUP(AK28,-1)-100</f>
        <v>70</v>
      </c>
      <c r="BR28" s="42">
        <f t="shared" si="34"/>
        <v>50</v>
      </c>
      <c r="BS28" s="42">
        <f>ROUNDUP(AM28,-1)-100</f>
        <v>130</v>
      </c>
      <c r="BT28">
        <f>VLOOKUP($B28,'[4]Food Monitor'!$A$4:$AD$95,16,0)</f>
        <v>120</v>
      </c>
      <c r="BU28">
        <f>VLOOKUP($B28,'[4]Food Monitor'!$A$4:$AD$95,27,0)</f>
        <v>80</v>
      </c>
    </row>
    <row r="29" spans="1:73" ht="16.5" hidden="1">
      <c r="A29" s="51" t="s">
        <v>105</v>
      </c>
      <c r="B29" s="51" t="s">
        <v>167</v>
      </c>
      <c r="C29" s="52" t="s">
        <v>168</v>
      </c>
      <c r="D29" s="51" t="s">
        <v>20</v>
      </c>
      <c r="E29" s="59" t="s">
        <v>20</v>
      </c>
      <c r="F29" s="59" t="s">
        <v>169</v>
      </c>
      <c r="G29" s="63">
        <v>337.15</v>
      </c>
      <c r="H29" s="61" t="s">
        <v>116</v>
      </c>
      <c r="I29" s="61" t="s">
        <v>128</v>
      </c>
      <c r="J29" s="70">
        <v>410857.49</v>
      </c>
      <c r="K29" s="70">
        <f>J29+14*AB29</f>
        <v>600895.92000000039</v>
      </c>
      <c r="L29" s="71">
        <f t="shared" si="1"/>
        <v>30.267587771589081</v>
      </c>
      <c r="M29" s="71">
        <v>1800</v>
      </c>
      <c r="N29" s="71">
        <v>900</v>
      </c>
      <c r="O29" s="71">
        <v>3168</v>
      </c>
      <c r="P29" s="51">
        <f t="shared" si="2"/>
        <v>20</v>
      </c>
      <c r="Q29" s="73">
        <v>45191</v>
      </c>
      <c r="R29" s="73">
        <v>45211</v>
      </c>
      <c r="S29" s="70">
        <f>VLOOKUP(B29,[1]Sheet7!$H$2:$M$93,5,0)</f>
        <v>905098.72000000055</v>
      </c>
      <c r="T29" s="71">
        <f t="shared" si="3"/>
        <v>93.792613471502648</v>
      </c>
      <c r="U29" s="70">
        <f>VLOOKUP($B29,[1]Sheet7!$H$2:$M$93,4,0)</f>
        <v>843893.00999999989</v>
      </c>
      <c r="V29" s="70">
        <f>VLOOKUP($B29,[1]Sheet7!$H$2:$M$93,2,0)</f>
        <v>27019.520000000008</v>
      </c>
      <c r="W29" s="70">
        <f>VLOOKUP($B29,[1]Sheet7!$H$2:$M$93,3,0)</f>
        <v>34402.89999999998</v>
      </c>
      <c r="X29" s="71">
        <f>VLOOKUP($B29,[1]Sheet8!$D$2:$E$93,2,0)</f>
        <v>5177</v>
      </c>
      <c r="Y29" s="71">
        <f>VLOOKUP($B29,[1]Sheet8!$P$3:$Q$94,2,0)</f>
        <v>7181</v>
      </c>
      <c r="Z29" s="71">
        <f>VLOOKUP($B29,[1]Sheet8!$J$3:$K$94,2,0)</f>
        <v>1096</v>
      </c>
      <c r="AA29" s="71">
        <f>VLOOKUP($B29,[1]Sheet7!$H$2:$M$93,6,0)</f>
        <v>121956</v>
      </c>
      <c r="AB29" s="57">
        <v>13574.173571428601</v>
      </c>
      <c r="AC29" s="57">
        <v>13574.173571428601</v>
      </c>
      <c r="AD29" s="75">
        <v>0</v>
      </c>
      <c r="AE29" s="57">
        <f t="shared" si="4"/>
        <v>14931.590928571462</v>
      </c>
      <c r="AF29" s="75">
        <v>1.1000000000000001</v>
      </c>
      <c r="AG29" s="77">
        <f>VLOOKUP($B29,[2]Sheet1!$E$2:$I$96,4,0)</f>
        <v>9650</v>
      </c>
      <c r="AH29" s="77">
        <f>VLOOKUP($B29,[2]Sheet1!$E$2:$I$96,5,0)</f>
        <v>1442</v>
      </c>
      <c r="AI29" s="77">
        <f t="shared" si="5"/>
        <v>67550</v>
      </c>
      <c r="AJ29" s="61">
        <f t="shared" si="6"/>
        <v>10094</v>
      </c>
      <c r="AK29" s="61">
        <f>VLOOKUP(B29,[2]Sheet9!$D$2:$F$94,3,0)</f>
        <v>597</v>
      </c>
      <c r="AL29" s="61">
        <f>VLOOKUP(B29,[2]Sheet9!$J$3:$L$95,3,0)</f>
        <v>137</v>
      </c>
      <c r="AM29" s="61">
        <f>VLOOKUP(B29,[2]Sheet9!$P$3:$R$95,3,0)</f>
        <v>558</v>
      </c>
      <c r="AN29" s="70">
        <f t="shared" si="7"/>
        <v>75874.060000000638</v>
      </c>
      <c r="AO29" s="71">
        <f t="shared" si="8"/>
        <v>9484.2575000000797</v>
      </c>
      <c r="AP29" s="71">
        <f t="shared" si="9"/>
        <v>-1671.2857142857142</v>
      </c>
      <c r="AQ29" s="71">
        <f t="shared" si="10"/>
        <v>195.42857142857156</v>
      </c>
      <c r="AR29" s="71">
        <f t="shared" si="11"/>
        <v>-2418.7142857142862</v>
      </c>
      <c r="AS29" s="61" t="str">
        <f t="shared" si="12"/>
        <v>Out of Stock Risk</v>
      </c>
      <c r="AT29" s="57">
        <v>95019.215000000506</v>
      </c>
      <c r="AU29" s="57">
        <f>AC29*7</f>
        <v>95019.2150000002</v>
      </c>
      <c r="AV29" s="57">
        <f t="shared" si="14"/>
        <v>75790.764500000063</v>
      </c>
      <c r="AW29" s="57">
        <v>95019.215000000506</v>
      </c>
      <c r="AX29" s="57">
        <f>AI29*0.5+AC29*7*0.5</f>
        <v>81284.6075000001</v>
      </c>
      <c r="AY29" s="61">
        <f t="shared" si="15"/>
        <v>11877.401875000063</v>
      </c>
      <c r="AZ29" s="61">
        <f>IFERROR(VLOOKUP(B29,[3]Sheet2!$E$4:$F$17,2,0),0)</f>
        <v>0</v>
      </c>
      <c r="BA29" s="61">
        <f t="shared" si="32"/>
        <v>11877.401875000025</v>
      </c>
      <c r="BB29" s="61">
        <f t="shared" si="29"/>
        <v>9473.8455625000079</v>
      </c>
      <c r="BC29" s="61">
        <f t="shared" si="30"/>
        <v>11877.401875000063</v>
      </c>
      <c r="BD29" s="61">
        <f t="shared" si="31"/>
        <v>10160.575937500013</v>
      </c>
      <c r="BE29" s="61">
        <f t="shared" si="17"/>
        <v>1979.5669791666771</v>
      </c>
      <c r="BF29" s="61">
        <f t="shared" si="18"/>
        <v>1979.5669791666708</v>
      </c>
      <c r="BG29" s="61">
        <f t="shared" si="19"/>
        <v>1578.9742604166679</v>
      </c>
      <c r="BH29" s="61">
        <f t="shared" si="20"/>
        <v>1979.5669791666771</v>
      </c>
      <c r="BI29" s="61">
        <f t="shared" si="21"/>
        <v>1693.4293229166688</v>
      </c>
      <c r="BJ29" s="61">
        <f t="shared" si="22"/>
        <v>9.8978348958333857</v>
      </c>
      <c r="BK29" s="61">
        <f t="shared" si="23"/>
        <v>9.8978348958333537</v>
      </c>
      <c r="BL29" s="61">
        <f t="shared" si="24"/>
        <v>7.8948713020833399</v>
      </c>
      <c r="BM29" s="61">
        <f t="shared" si="25"/>
        <v>9.8978348958333857</v>
      </c>
      <c r="BN29" s="61">
        <f t="shared" si="26"/>
        <v>8.4671466145833438</v>
      </c>
      <c r="BO29">
        <f t="shared" si="27"/>
        <v>817838.96771428641</v>
      </c>
      <c r="BP29" s="42">
        <f t="shared" si="28"/>
        <v>10160.575937500013</v>
      </c>
      <c r="BQ29" s="42">
        <f>ROUNDUP(AK29,-1)-100</f>
        <v>500</v>
      </c>
      <c r="BR29" s="42">
        <f t="shared" si="34"/>
        <v>140</v>
      </c>
      <c r="BS29" s="42">
        <f>ROUNDUP(AM29,-1)-100</f>
        <v>460</v>
      </c>
      <c r="BT29">
        <f>VLOOKUP($B29,'[4]Food Monitor'!$A$4:$AD$95,16,0)</f>
        <v>1030</v>
      </c>
      <c r="BU29">
        <f>VLOOKUP($B29,'[4]Food Monitor'!$A$4:$AD$95,27,0)</f>
        <v>310</v>
      </c>
    </row>
    <row r="30" spans="1:73" ht="16.5" hidden="1">
      <c r="A30" s="51" t="s">
        <v>105</v>
      </c>
      <c r="B30" s="51" t="s">
        <v>170</v>
      </c>
      <c r="C30" s="52" t="s">
        <v>171</v>
      </c>
      <c r="D30" s="51" t="s">
        <v>20</v>
      </c>
      <c r="E30" s="59" t="s">
        <v>20</v>
      </c>
      <c r="F30" s="59" t="s">
        <v>108</v>
      </c>
      <c r="G30" s="63">
        <v>252</v>
      </c>
      <c r="H30" s="61" t="s">
        <v>109</v>
      </c>
      <c r="I30" s="61" t="s">
        <v>110</v>
      </c>
      <c r="J30" s="70">
        <v>211111.71</v>
      </c>
      <c r="K30" s="70">
        <f>J30+14*AB30</f>
        <v>259042.52000000005</v>
      </c>
      <c r="L30" s="71">
        <f t="shared" si="1"/>
        <v>61.663133587769458</v>
      </c>
      <c r="M30" s="71">
        <v>1350</v>
      </c>
      <c r="N30" s="71">
        <v>270</v>
      </c>
      <c r="O30" s="71">
        <v>2112</v>
      </c>
      <c r="P30" s="51">
        <f t="shared" si="2"/>
        <v>20</v>
      </c>
      <c r="Q30" s="73">
        <v>45191</v>
      </c>
      <c r="R30" s="73">
        <v>45211</v>
      </c>
      <c r="S30" s="70">
        <f>VLOOKUP(B30,[1]Sheet7!$H$2:$M$93,5,0)</f>
        <v>354662.19000000012</v>
      </c>
      <c r="T30" s="71">
        <f t="shared" si="3"/>
        <v>140.40466745843236</v>
      </c>
      <c r="U30" s="70">
        <f>VLOOKUP($B30,[1]Sheet7!$H$2:$M$93,4,0)</f>
        <v>309149.23999999894</v>
      </c>
      <c r="V30" s="70">
        <f>VLOOKUP($B30,[1]Sheet7!$H$2:$M$93,2,0)</f>
        <v>26200.809999999979</v>
      </c>
      <c r="W30" s="70">
        <f>VLOOKUP($B30,[1]Sheet7!$H$2:$M$93,3,0)</f>
        <v>19757.399999999991</v>
      </c>
      <c r="X30" s="71">
        <f>VLOOKUP($B30,[1]Sheet8!$D$2:$E$93,2,0)</f>
        <v>2109</v>
      </c>
      <c r="Y30" s="71">
        <f>VLOOKUP($B30,[1]Sheet8!$P$3:$Q$94,2,0)</f>
        <v>3583</v>
      </c>
      <c r="Z30" s="71">
        <f>VLOOKUP($B30,[1]Sheet8!$J$3:$K$94,2,0)</f>
        <v>243</v>
      </c>
      <c r="AA30" s="71">
        <f>VLOOKUP($B30,[1]Sheet7!$H$2:$M$93,6,0)</f>
        <v>45573</v>
      </c>
      <c r="AB30" s="57">
        <v>3423.6292857142898</v>
      </c>
      <c r="AC30" s="57">
        <v>4848.7582881192702</v>
      </c>
      <c r="AD30" s="76">
        <v>0.41626265096854398</v>
      </c>
      <c r="AE30" s="57">
        <f t="shared" si="4"/>
        <v>5333.6341169311972</v>
      </c>
      <c r="AF30" s="75">
        <v>1.1000000000000001</v>
      </c>
      <c r="AG30" s="77">
        <f>VLOOKUP($B30,[2]Sheet1!$E$2:$I$96,4,0)</f>
        <v>2526</v>
      </c>
      <c r="AH30" s="77">
        <f>VLOOKUP($B30,[2]Sheet1!$E$2:$I$96,5,0)</f>
        <v>376</v>
      </c>
      <c r="AI30" s="77">
        <f t="shared" si="5"/>
        <v>17682</v>
      </c>
      <c r="AJ30" s="61">
        <f t="shared" si="6"/>
        <v>2632</v>
      </c>
      <c r="AK30" s="61">
        <f>VLOOKUP(B30,[2]Sheet9!$D$2:$F$94,3,0)</f>
        <v>168</v>
      </c>
      <c r="AL30" s="61">
        <f>VLOOKUP(B30,[2]Sheet9!$J$3:$L$95,3,0)</f>
        <v>36</v>
      </c>
      <c r="AM30" s="61">
        <f>VLOOKUP(B30,[2]Sheet9!$P$3:$R$95,3,0)</f>
        <v>184</v>
      </c>
      <c r="AN30" s="70">
        <f t="shared" si="7"/>
        <v>60097.368101009226</v>
      </c>
      <c r="AO30" s="71">
        <f t="shared" si="8"/>
        <v>7512.1710126261532</v>
      </c>
      <c r="AP30" s="71">
        <f t="shared" si="9"/>
        <v>-279</v>
      </c>
      <c r="AQ30" s="71">
        <f t="shared" si="10"/>
        <v>129.85714285714289</v>
      </c>
      <c r="AR30" s="71">
        <f t="shared" si="11"/>
        <v>-945.28571428571422</v>
      </c>
      <c r="AS30" s="61" t="str">
        <f t="shared" si="12"/>
        <v>Out of Stock Risk</v>
      </c>
      <c r="AT30" s="57">
        <v>40000</v>
      </c>
      <c r="AU30" s="57">
        <f>AC30*7</f>
        <v>33941.30801683489</v>
      </c>
      <c r="AV30" s="57">
        <f t="shared" si="14"/>
        <v>22559.792405050466</v>
      </c>
      <c r="AW30" s="57">
        <v>33941.308016834897</v>
      </c>
      <c r="AX30" s="57">
        <f>AI30*0.7+AC30*7*0.3</f>
        <v>22559.792405050466</v>
      </c>
      <c r="AY30" s="61">
        <f t="shared" si="15"/>
        <v>5000</v>
      </c>
      <c r="AZ30" s="61">
        <f>IFERROR(VLOOKUP(B30,[3]Sheet2!$E$4:$F$17,2,0),0)</f>
        <v>0</v>
      </c>
      <c r="BA30" s="61">
        <f t="shared" si="32"/>
        <v>4242.6635021043612</v>
      </c>
      <c r="BB30" s="61">
        <f t="shared" si="29"/>
        <v>2819.9740506313083</v>
      </c>
      <c r="BC30" s="61">
        <f t="shared" si="30"/>
        <v>4242.6635021043621</v>
      </c>
      <c r="BD30" s="61">
        <f t="shared" si="31"/>
        <v>2819.9740506313083</v>
      </c>
      <c r="BE30" s="61">
        <f t="shared" si="17"/>
        <v>833.33333333333337</v>
      </c>
      <c r="BF30" s="61">
        <f t="shared" si="18"/>
        <v>707.1105836840602</v>
      </c>
      <c r="BG30" s="61">
        <f t="shared" si="19"/>
        <v>469.99567510521803</v>
      </c>
      <c r="BH30" s="61">
        <f t="shared" si="20"/>
        <v>707.11058368406032</v>
      </c>
      <c r="BI30" s="61">
        <f t="shared" si="21"/>
        <v>469.99567510521803</v>
      </c>
      <c r="BJ30" s="61">
        <f t="shared" si="22"/>
        <v>4.166666666666667</v>
      </c>
      <c r="BK30" s="61">
        <f t="shared" si="23"/>
        <v>3.5355529184203012</v>
      </c>
      <c r="BL30" s="61">
        <f t="shared" si="24"/>
        <v>2.3499783755260903</v>
      </c>
      <c r="BM30" s="61">
        <f t="shared" si="25"/>
        <v>3.5355529184203016</v>
      </c>
      <c r="BN30" s="61">
        <f t="shared" si="26"/>
        <v>2.3499783755260903</v>
      </c>
      <c r="BO30">
        <f t="shared" si="27"/>
        <v>331388.97862876405</v>
      </c>
      <c r="BP30" s="42">
        <f t="shared" si="28"/>
        <v>2819.9740506313083</v>
      </c>
      <c r="BQ30" s="42">
        <f>ROUNDUP(AK30,-1)-100</f>
        <v>70</v>
      </c>
      <c r="BR30" s="42">
        <f t="shared" si="34"/>
        <v>40</v>
      </c>
      <c r="BS30" s="42">
        <f>ROUNDUP(AM30,-1)-100</f>
        <v>90</v>
      </c>
      <c r="BT30">
        <f>VLOOKUP($B30,'[4]Food Monitor'!$A$4:$AD$95,16,0)</f>
        <v>170</v>
      </c>
      <c r="BU30">
        <f>VLOOKUP($B30,'[4]Food Monitor'!$A$4:$AD$95,27,0)</f>
        <v>30</v>
      </c>
    </row>
    <row r="31" spans="1:73" ht="16.5" hidden="1">
      <c r="A31" s="51" t="s">
        <v>105</v>
      </c>
      <c r="B31" s="51" t="s">
        <v>172</v>
      </c>
      <c r="C31" s="52" t="s">
        <v>173</v>
      </c>
      <c r="D31" s="51" t="s">
        <v>11</v>
      </c>
      <c r="E31" s="59" t="s">
        <v>11</v>
      </c>
      <c r="F31" s="59" t="s">
        <v>174</v>
      </c>
      <c r="G31" s="63">
        <v>281.2</v>
      </c>
      <c r="H31" s="61" t="s">
        <v>121</v>
      </c>
      <c r="I31" s="61" t="s">
        <v>113</v>
      </c>
      <c r="J31" s="70">
        <v>188391.77</v>
      </c>
      <c r="K31" s="70">
        <f>J31+21*AB31</f>
        <v>236163.98000000161</v>
      </c>
      <c r="L31" s="71">
        <f t="shared" si="1"/>
        <v>82.814405488041373</v>
      </c>
      <c r="M31" s="71">
        <v>1260</v>
      </c>
      <c r="N31" s="71">
        <v>360</v>
      </c>
      <c r="O31" s="71">
        <v>1408</v>
      </c>
      <c r="P31" s="51">
        <f t="shared" si="2"/>
        <v>27</v>
      </c>
      <c r="Q31" s="73">
        <v>45191</v>
      </c>
      <c r="R31" s="73">
        <v>45218</v>
      </c>
      <c r="S31" s="70">
        <f>VLOOKUP(B31,[1]Sheet7!$H$2:$M$93,5,0)</f>
        <v>292183.80000000296</v>
      </c>
      <c r="T31" s="71">
        <f t="shared" si="3"/>
        <v>161.69551743220973</v>
      </c>
      <c r="U31" s="70">
        <f>VLOOKUP($B31,[1]Sheet7!$H$2:$M$93,4,0)</f>
        <v>259146.50000000239</v>
      </c>
      <c r="V31" s="70">
        <f>VLOOKUP($B31,[1]Sheet7!$H$2:$M$93,2,0)</f>
        <v>33258.699999999932</v>
      </c>
      <c r="W31" s="70">
        <f>VLOOKUP($B31,[1]Sheet7!$H$2:$M$93,3,0)</f>
        <v>0</v>
      </c>
      <c r="X31" s="71">
        <f>VLOOKUP($B31,[1]Sheet8!$D$2:$E$93,2,0)</f>
        <v>2050</v>
      </c>
      <c r="Y31" s="71">
        <f>VLOOKUP($B31,[1]Sheet8!$P$3:$Q$94,2,0)</f>
        <v>2582</v>
      </c>
      <c r="Z31" s="71">
        <f>VLOOKUP($B31,[1]Sheet8!$J$3:$K$94,2,0)</f>
        <v>277</v>
      </c>
      <c r="AA31" s="71">
        <f>VLOOKUP($B31,[1]Sheet7!$H$2:$M$93,6,0)</f>
        <v>39564</v>
      </c>
      <c r="AB31" s="57">
        <v>2274.8671428572202</v>
      </c>
      <c r="AC31" s="57">
        <v>2274.8671428572202</v>
      </c>
      <c r="AD31" s="75">
        <v>0</v>
      </c>
      <c r="AE31" s="57">
        <f t="shared" si="4"/>
        <v>2502.3538571429426</v>
      </c>
      <c r="AF31" s="75">
        <v>1.1000000000000001</v>
      </c>
      <c r="AG31" s="77">
        <f>VLOOKUP($B31,[2]Sheet1!$E$2:$I$96,4,0)</f>
        <v>1807</v>
      </c>
      <c r="AH31" s="77">
        <f>VLOOKUP($B31,[2]Sheet1!$E$2:$I$96,5,0)</f>
        <v>262</v>
      </c>
      <c r="AI31" s="77">
        <f t="shared" si="5"/>
        <v>12649</v>
      </c>
      <c r="AJ31" s="61">
        <f t="shared" si="6"/>
        <v>1834</v>
      </c>
      <c r="AK31" s="61">
        <f>VLOOKUP(B31,[2]Sheet9!$D$2:$F$94,3,0)</f>
        <v>121</v>
      </c>
      <c r="AL31" s="61">
        <f>VLOOKUP(B31,[2]Sheet9!$J$3:$L$95,3,0)</f>
        <v>23</v>
      </c>
      <c r="AM31" s="61">
        <f>VLOOKUP(B31,[2]Sheet9!$P$3:$R$95,3,0)</f>
        <v>133</v>
      </c>
      <c r="AN31" s="70">
        <f t="shared" si="7"/>
        <v>-8247.609999999695</v>
      </c>
      <c r="AO31" s="71">
        <f t="shared" si="8"/>
        <v>0</v>
      </c>
      <c r="AP31" s="71">
        <f t="shared" si="9"/>
        <v>-323.28571428571422</v>
      </c>
      <c r="AQ31" s="71">
        <f t="shared" si="10"/>
        <v>171.71428571428572</v>
      </c>
      <c r="AR31" s="71">
        <f t="shared" si="11"/>
        <v>-661</v>
      </c>
      <c r="AS31" s="61" t="str">
        <f t="shared" si="12"/>
        <v>Normal</v>
      </c>
      <c r="AT31" s="57">
        <v>15924.0700000006</v>
      </c>
      <c r="AU31" s="57">
        <f>AC31*7</f>
        <v>15924.070000000542</v>
      </c>
      <c r="AV31" s="57">
        <f t="shared" si="14"/>
        <v>13631.521000000161</v>
      </c>
      <c r="AW31" s="57">
        <v>15924.0700000006</v>
      </c>
      <c r="AX31" s="57">
        <f>AI31*1.2</f>
        <v>15178.8</v>
      </c>
      <c r="AY31" s="61">
        <f t="shared" si="15"/>
        <v>1990.508750000075</v>
      </c>
      <c r="AZ31" s="61">
        <f>IFERROR(VLOOKUP(B31,[3]Sheet2!$E$4:$F$17,2,0),0)</f>
        <v>0</v>
      </c>
      <c r="BA31" s="61">
        <f t="shared" si="32"/>
        <v>1990.5087500000677</v>
      </c>
      <c r="BB31" s="61">
        <f t="shared" si="29"/>
        <v>1703.9401250000201</v>
      </c>
      <c r="BC31" s="61">
        <f t="shared" si="30"/>
        <v>1990.508750000075</v>
      </c>
      <c r="BD31" s="61">
        <f t="shared" si="31"/>
        <v>1897.35</v>
      </c>
      <c r="BE31" s="61">
        <f t="shared" si="17"/>
        <v>331.75145833334585</v>
      </c>
      <c r="BF31" s="61">
        <f t="shared" si="18"/>
        <v>331.7514583333446</v>
      </c>
      <c r="BG31" s="61">
        <f t="shared" si="19"/>
        <v>283.9900208333367</v>
      </c>
      <c r="BH31" s="61">
        <f t="shared" si="20"/>
        <v>331.75145833334585</v>
      </c>
      <c r="BI31" s="61">
        <f t="shared" si="21"/>
        <v>316.22499999999997</v>
      </c>
      <c r="BJ31" s="61">
        <f t="shared" si="22"/>
        <v>1.6587572916667292</v>
      </c>
      <c r="BK31" s="61">
        <f t="shared" si="23"/>
        <v>1.658757291666723</v>
      </c>
      <c r="BL31" s="61">
        <f t="shared" si="24"/>
        <v>1.4199501041666833</v>
      </c>
      <c r="BM31" s="61">
        <f t="shared" si="25"/>
        <v>1.6587572916667292</v>
      </c>
      <c r="BN31" s="61">
        <f t="shared" si="26"/>
        <v>1.5811249999999999</v>
      </c>
      <c r="BO31">
        <f t="shared" si="27"/>
        <v>280046.51242857333</v>
      </c>
      <c r="BP31" s="42">
        <f t="shared" si="28"/>
        <v>1897.35</v>
      </c>
      <c r="BQ31" s="42">
        <f>ROUNDUP(AK31,-1)-100</f>
        <v>30</v>
      </c>
      <c r="BR31" s="42">
        <f t="shared" si="34"/>
        <v>30</v>
      </c>
      <c r="BS31" s="42">
        <f>ROUNDUP(AM31,-1)-50</f>
        <v>90</v>
      </c>
      <c r="BT31">
        <f>VLOOKUP($B31,'[4]Food Monitor'!$A$4:$AD$95,16,0)</f>
        <v>300</v>
      </c>
      <c r="BU31">
        <f>VLOOKUP($B31,'[4]Food Monitor'!$A$4:$AD$95,27,0)</f>
        <v>100</v>
      </c>
    </row>
    <row r="32" spans="1:73" ht="16.5" hidden="1">
      <c r="A32" s="51" t="s">
        <v>105</v>
      </c>
      <c r="B32" s="51" t="s">
        <v>175</v>
      </c>
      <c r="C32" s="52" t="s">
        <v>176</v>
      </c>
      <c r="D32" s="51" t="s">
        <v>11</v>
      </c>
      <c r="E32" s="59" t="s">
        <v>11</v>
      </c>
      <c r="F32" s="59" t="s">
        <v>177</v>
      </c>
      <c r="G32" s="63">
        <v>280.75</v>
      </c>
      <c r="H32" s="61" t="s">
        <v>116</v>
      </c>
      <c r="I32" s="61" t="s">
        <v>166</v>
      </c>
      <c r="J32" s="70">
        <v>332263.23869999999</v>
      </c>
      <c r="K32" s="70">
        <f>J32+21*AB32</f>
        <v>449968.58370000275</v>
      </c>
      <c r="L32" s="71">
        <f t="shared" si="1"/>
        <v>59.279619058079618</v>
      </c>
      <c r="M32" s="71">
        <v>1530</v>
      </c>
      <c r="N32" s="71">
        <v>630</v>
      </c>
      <c r="O32" s="71">
        <v>3168</v>
      </c>
      <c r="P32" s="51">
        <f t="shared" si="2"/>
        <v>27</v>
      </c>
      <c r="Q32" s="73">
        <v>45191</v>
      </c>
      <c r="R32" s="73">
        <v>45218</v>
      </c>
      <c r="S32" s="70">
        <f>VLOOKUP(B32,[1]Sheet7!$H$2:$M$93,5,0)</f>
        <v>529327.24000000034</v>
      </c>
      <c r="T32" s="71">
        <f t="shared" si="3"/>
        <v>121.60056053296584</v>
      </c>
      <c r="U32" s="70">
        <f>VLOOKUP($B32,[1]Sheet7!$H$2:$M$93,4,0)</f>
        <v>376526.37999999867</v>
      </c>
      <c r="V32" s="70">
        <f>VLOOKUP($B32,[1]Sheet7!$H$2:$M$93,2,0)</f>
        <v>152578.9700000002</v>
      </c>
      <c r="W32" s="70">
        <f>VLOOKUP($B32,[1]Sheet7!$H$2:$M$93,3,0)</f>
        <v>0</v>
      </c>
      <c r="X32" s="71">
        <f>VLOOKUP($B32,[1]Sheet8!$D$2:$E$93,2,0)</f>
        <v>2711</v>
      </c>
      <c r="Y32" s="71">
        <f>VLOOKUP($B32,[1]Sheet8!$P$3:$Q$94,2,0)</f>
        <v>4605</v>
      </c>
      <c r="Z32" s="71">
        <f>VLOOKUP($B32,[1]Sheet8!$J$3:$K$94,2,0)</f>
        <v>7</v>
      </c>
      <c r="AA32" s="71">
        <f>VLOOKUP($B32,[1]Sheet7!$H$2:$M$93,6,0)</f>
        <v>72588</v>
      </c>
      <c r="AB32" s="57">
        <v>5605.01642857156</v>
      </c>
      <c r="AC32" s="57">
        <v>5605.01642857156</v>
      </c>
      <c r="AD32" s="75">
        <v>0</v>
      </c>
      <c r="AE32" s="57">
        <f t="shared" si="4"/>
        <v>6165.5180714287162</v>
      </c>
      <c r="AF32" s="75">
        <v>1.1000000000000001</v>
      </c>
      <c r="AG32" s="77">
        <f>VLOOKUP($B32,[2]Sheet1!$E$2:$I$96,4,0)</f>
        <v>4353</v>
      </c>
      <c r="AH32" s="77">
        <f>VLOOKUP($B32,[2]Sheet1!$E$2:$I$96,5,0)</f>
        <v>578</v>
      </c>
      <c r="AI32" s="77">
        <f t="shared" si="5"/>
        <v>30471</v>
      </c>
      <c r="AJ32" s="61">
        <f t="shared" si="6"/>
        <v>4046</v>
      </c>
      <c r="AK32" s="61">
        <f>VLOOKUP(B32,[2]Sheet9!$D$2:$F$94,3,0)</f>
        <v>236</v>
      </c>
      <c r="AL32" s="61">
        <f>VLOOKUP(B32,[2]Sheet9!$J$3:$L$95,3,0)</f>
        <v>62</v>
      </c>
      <c r="AM32" s="61">
        <f>VLOOKUP(B32,[2]Sheet9!$P$3:$R$95,3,0)</f>
        <v>257</v>
      </c>
      <c r="AN32" s="70">
        <f t="shared" si="7"/>
        <v>38346.688700005179</v>
      </c>
      <c r="AO32" s="71">
        <f t="shared" si="8"/>
        <v>4793.3360875006474</v>
      </c>
      <c r="AP32" s="71">
        <f t="shared" si="9"/>
        <v>-270.71428571428578</v>
      </c>
      <c r="AQ32" s="71">
        <f t="shared" si="10"/>
        <v>862.14285714285711</v>
      </c>
      <c r="AR32" s="71">
        <f t="shared" si="11"/>
        <v>-445.71428571428532</v>
      </c>
      <c r="AS32" s="61" t="str">
        <f t="shared" si="12"/>
        <v>Out of Stock Risk</v>
      </c>
      <c r="AT32" s="57">
        <v>39235.115000001002</v>
      </c>
      <c r="AU32" s="57">
        <f>AC32*7</f>
        <v>39235.115000000922</v>
      </c>
      <c r="AV32" s="57">
        <f t="shared" si="14"/>
        <v>33100.234500000268</v>
      </c>
      <c r="AW32" s="57">
        <v>39235.115000001002</v>
      </c>
      <c r="AX32" s="57">
        <f>AI32*0.6+AC32*7*0.4</f>
        <v>33976.646000000372</v>
      </c>
      <c r="AY32" s="61">
        <f t="shared" si="15"/>
        <v>4904.3893750001253</v>
      </c>
      <c r="AZ32" s="61">
        <f>IFERROR(VLOOKUP(B32,[3]Sheet2!$E$4:$F$17,2,0),0)</f>
        <v>1934</v>
      </c>
      <c r="BA32" s="61">
        <f>AU32/8-AZ32</f>
        <v>2970.3893750001153</v>
      </c>
      <c r="BB32" s="61">
        <f t="shared" si="29"/>
        <v>4137.5293125000335</v>
      </c>
      <c r="BC32" s="61">
        <f t="shared" si="30"/>
        <v>4904.3893750001253</v>
      </c>
      <c r="BD32" s="61">
        <f t="shared" si="31"/>
        <v>4247.0807500000465</v>
      </c>
      <c r="BE32" s="61">
        <f t="shared" si="17"/>
        <v>817.39822916668754</v>
      </c>
      <c r="BF32" s="61">
        <f t="shared" si="18"/>
        <v>495.06489583335252</v>
      </c>
      <c r="BG32" s="61">
        <f t="shared" si="19"/>
        <v>689.58821875000558</v>
      </c>
      <c r="BH32" s="61">
        <f t="shared" si="20"/>
        <v>817.39822916668754</v>
      </c>
      <c r="BI32" s="61">
        <f t="shared" si="21"/>
        <v>385.51345833334108</v>
      </c>
      <c r="BJ32" s="61">
        <f t="shared" si="22"/>
        <v>4.086991145833438</v>
      </c>
      <c r="BK32" s="61">
        <f t="shared" si="23"/>
        <v>2.4753244791667628</v>
      </c>
      <c r="BL32" s="61">
        <f t="shared" si="24"/>
        <v>3.4479410937500279</v>
      </c>
      <c r="BM32" s="61">
        <f t="shared" si="25"/>
        <v>4.086991145833438</v>
      </c>
      <c r="BN32" s="61">
        <f t="shared" si="26"/>
        <v>1.9275672916667055</v>
      </c>
      <c r="BO32">
        <f t="shared" si="27"/>
        <v>495513.82478571311</v>
      </c>
      <c r="BP32" s="42">
        <f t="shared" si="28"/>
        <v>2313.0807500000465</v>
      </c>
      <c r="BQ32" s="42">
        <f>ROUNDUP(AK32,-1)-100</f>
        <v>140</v>
      </c>
      <c r="BR32" s="42">
        <f t="shared" si="34"/>
        <v>70</v>
      </c>
      <c r="BS32" s="42">
        <f>ROUNDUP(AM32,-1)</f>
        <v>260</v>
      </c>
      <c r="BT32">
        <f>VLOOKUP($B32,'[4]Food Monitor'!$A$4:$AD$95,16,0)</f>
        <v>300</v>
      </c>
      <c r="BU32">
        <f>VLOOKUP($B32,'[4]Food Monitor'!$A$4:$AD$95,27,0)</f>
        <v>50</v>
      </c>
    </row>
    <row r="33" spans="1:73" ht="16.5" hidden="1">
      <c r="A33" s="51" t="s">
        <v>105</v>
      </c>
      <c r="B33" s="51" t="s">
        <v>178</v>
      </c>
      <c r="C33" s="52" t="s">
        <v>179</v>
      </c>
      <c r="D33" s="51" t="s">
        <v>20</v>
      </c>
      <c r="E33" s="59" t="s">
        <v>20</v>
      </c>
      <c r="F33" s="59" t="s">
        <v>108</v>
      </c>
      <c r="G33" s="63">
        <v>331</v>
      </c>
      <c r="H33" s="61" t="s">
        <v>121</v>
      </c>
      <c r="I33" s="61" t="s">
        <v>151</v>
      </c>
      <c r="J33" s="70">
        <v>156392.68</v>
      </c>
      <c r="K33" s="70">
        <f>J33+14*AB33</f>
        <v>185339.05000000075</v>
      </c>
      <c r="L33" s="71">
        <f t="shared" si="1"/>
        <v>75.639795939868932</v>
      </c>
      <c r="M33" s="71">
        <v>1080</v>
      </c>
      <c r="N33" s="71">
        <v>360</v>
      </c>
      <c r="O33" s="71">
        <v>1408</v>
      </c>
      <c r="P33" s="51">
        <f t="shared" si="2"/>
        <v>20</v>
      </c>
      <c r="Q33" s="73">
        <v>45191</v>
      </c>
      <c r="R33" s="73">
        <v>45211</v>
      </c>
      <c r="S33" s="70">
        <f>VLOOKUP(B33,[1]Sheet7!$H$2:$M$93,5,0)</f>
        <v>233031.02000000156</v>
      </c>
      <c r="T33" s="71">
        <f t="shared" si="3"/>
        <v>101.45016107966981</v>
      </c>
      <c r="U33" s="70">
        <f>VLOOKUP($B33,[1]Sheet7!$H$2:$M$93,4,0)</f>
        <v>184608.8700000011</v>
      </c>
      <c r="V33" s="70">
        <f>VLOOKUP($B33,[1]Sheet7!$H$2:$M$93,2,0)</f>
        <v>30360.299999999963</v>
      </c>
      <c r="W33" s="70">
        <f>VLOOKUP($B33,[1]Sheet7!$H$2:$M$93,3,0)</f>
        <v>18314.169999999976</v>
      </c>
      <c r="X33" s="71">
        <f>VLOOKUP($B33,[1]Sheet8!$D$2:$E$93,2,0)</f>
        <v>1361</v>
      </c>
      <c r="Y33" s="71">
        <f>VLOOKUP($B33,[1]Sheet8!$P$3:$Q$94,2,0)</f>
        <v>2219</v>
      </c>
      <c r="Z33" s="71">
        <f>VLOOKUP($B33,[1]Sheet8!$J$3:$K$94,2,0)</f>
        <v>442</v>
      </c>
      <c r="AA33" s="71">
        <f>VLOOKUP($B33,[1]Sheet7!$H$2:$M$93,6,0)</f>
        <v>29713</v>
      </c>
      <c r="AB33" s="57">
        <v>2067.59785714291</v>
      </c>
      <c r="AC33" s="57">
        <v>2067.59785714291</v>
      </c>
      <c r="AD33" s="75">
        <v>0</v>
      </c>
      <c r="AE33" s="57">
        <f t="shared" si="4"/>
        <v>2274.3576428572014</v>
      </c>
      <c r="AF33" s="75">
        <v>1.1000000000000001</v>
      </c>
      <c r="AG33" s="77">
        <f>VLOOKUP($B33,[2]Sheet1!$E$2:$I$96,4,0)</f>
        <v>2297</v>
      </c>
      <c r="AH33" s="77">
        <f>VLOOKUP($B33,[2]Sheet1!$E$2:$I$96,5,0)</f>
        <v>308</v>
      </c>
      <c r="AI33" s="77">
        <f t="shared" si="5"/>
        <v>16079</v>
      </c>
      <c r="AJ33" s="61">
        <f t="shared" si="6"/>
        <v>2156</v>
      </c>
      <c r="AK33" s="61">
        <f>VLOOKUP(B33,[2]Sheet9!$D$2:$F$94,3,0)</f>
        <v>142</v>
      </c>
      <c r="AL33" s="61">
        <f>VLOOKUP(B33,[2]Sheet9!$J$3:$L$95,3,0)</f>
        <v>31</v>
      </c>
      <c r="AM33" s="61">
        <f>VLOOKUP(B33,[2]Sheet9!$P$3:$R$95,3,0)</f>
        <v>167</v>
      </c>
      <c r="AN33" s="70">
        <f t="shared" si="7"/>
        <v>10200.770000000659</v>
      </c>
      <c r="AO33" s="71">
        <f t="shared" si="8"/>
        <v>1275.0962500000824</v>
      </c>
      <c r="AP33" s="71">
        <f t="shared" si="9"/>
        <v>124.71428571428578</v>
      </c>
      <c r="AQ33" s="71">
        <f t="shared" si="10"/>
        <v>6.5714285714285552</v>
      </c>
      <c r="AR33" s="71">
        <f t="shared" si="11"/>
        <v>-333.85714285714289</v>
      </c>
      <c r="AS33" s="61" t="str">
        <f t="shared" si="12"/>
        <v>Normal</v>
      </c>
      <c r="AT33" s="57">
        <v>14473.1850000004</v>
      </c>
      <c r="AU33" s="57">
        <f>AC33*7</f>
        <v>14473.185000000371</v>
      </c>
      <c r="AV33" s="57">
        <f t="shared" si="14"/>
        <v>15597.25550000011</v>
      </c>
      <c r="AW33" s="57">
        <v>14473.1850000004</v>
      </c>
      <c r="AX33" s="57">
        <f>AI33*1.1</f>
        <v>17686.900000000001</v>
      </c>
      <c r="AY33" s="61">
        <f t="shared" si="15"/>
        <v>1809.14812500005</v>
      </c>
      <c r="AZ33" s="61">
        <f>IFERROR(VLOOKUP(B33,[3]Sheet2!$E$4:$F$17,2,0),0)</f>
        <v>0</v>
      </c>
      <c r="BA33" s="61">
        <f>AU33/8</f>
        <v>1809.1481250000463</v>
      </c>
      <c r="BB33" s="61">
        <f t="shared" si="29"/>
        <v>1949.6569375000138</v>
      </c>
      <c r="BC33" s="61">
        <f t="shared" si="30"/>
        <v>1809.14812500005</v>
      </c>
      <c r="BD33" s="61">
        <f t="shared" si="31"/>
        <v>2210.8625000000002</v>
      </c>
      <c r="BE33" s="61">
        <f t="shared" si="17"/>
        <v>301.52468750000833</v>
      </c>
      <c r="BF33" s="61">
        <f t="shared" si="18"/>
        <v>301.5246875000077</v>
      </c>
      <c r="BG33" s="61">
        <f t="shared" si="19"/>
        <v>324.94282291666894</v>
      </c>
      <c r="BH33" s="61">
        <f t="shared" si="20"/>
        <v>301.52468750000833</v>
      </c>
      <c r="BI33" s="61">
        <f t="shared" si="21"/>
        <v>368.47708333333338</v>
      </c>
      <c r="BJ33" s="61">
        <f t="shared" si="22"/>
        <v>1.5076234375000417</v>
      </c>
      <c r="BK33" s="61">
        <f t="shared" si="23"/>
        <v>1.5076234375000386</v>
      </c>
      <c r="BL33" s="61">
        <f t="shared" si="24"/>
        <v>1.6247141145833448</v>
      </c>
      <c r="BM33" s="61">
        <f t="shared" si="25"/>
        <v>1.5076234375000417</v>
      </c>
      <c r="BN33" s="61">
        <f t="shared" si="26"/>
        <v>1.8423854166666669</v>
      </c>
      <c r="BO33">
        <f t="shared" si="27"/>
        <v>229098.41407142938</v>
      </c>
      <c r="BP33" s="42">
        <f t="shared" si="28"/>
        <v>2210.8625000000002</v>
      </c>
      <c r="BQ33" s="42">
        <f>ROUNDUP(AK33,-1)-50</f>
        <v>100</v>
      </c>
      <c r="BR33" s="42">
        <f t="shared" si="34"/>
        <v>40</v>
      </c>
      <c r="BS33" s="42">
        <f>ROUNDUP(AM33,-1)</f>
        <v>170</v>
      </c>
      <c r="BT33">
        <f>VLOOKUP($B33,'[4]Food Monitor'!$A$4:$AD$95,16,0)</f>
        <v>200</v>
      </c>
      <c r="BU33">
        <f>VLOOKUP($B33,'[4]Food Monitor'!$A$4:$AD$95,27,0)</f>
        <v>60</v>
      </c>
    </row>
    <row r="34" spans="1:73" ht="16.5" hidden="1">
      <c r="A34" s="51" t="s">
        <v>105</v>
      </c>
      <c r="B34" s="51" t="s">
        <v>180</v>
      </c>
      <c r="C34" s="52" t="s">
        <v>181</v>
      </c>
      <c r="D34" s="51" t="s">
        <v>11</v>
      </c>
      <c r="E34" s="59" t="s">
        <v>11</v>
      </c>
      <c r="F34" s="59" t="s">
        <v>182</v>
      </c>
      <c r="G34" s="63">
        <v>197</v>
      </c>
      <c r="H34" s="61" t="s">
        <v>121</v>
      </c>
      <c r="I34" s="61" t="s">
        <v>113</v>
      </c>
      <c r="J34" s="70">
        <v>194507.45</v>
      </c>
      <c r="K34" s="70">
        <f>J34+21*AB34</f>
        <v>234221.67500000124</v>
      </c>
      <c r="L34" s="71">
        <f t="shared" si="1"/>
        <v>102.85121892722</v>
      </c>
      <c r="M34" s="71">
        <v>1800</v>
      </c>
      <c r="N34" s="71">
        <v>360</v>
      </c>
      <c r="O34" s="71">
        <v>1408</v>
      </c>
      <c r="P34" s="51">
        <f t="shared" si="2"/>
        <v>27</v>
      </c>
      <c r="Q34" s="73">
        <v>45191</v>
      </c>
      <c r="R34" s="73">
        <v>45218</v>
      </c>
      <c r="S34" s="70">
        <f>VLOOKUP(B34,[1]Sheet7!$H$2:$M$93,5,0)</f>
        <v>293847.16000000288</v>
      </c>
      <c r="T34" s="71">
        <f t="shared" si="3"/>
        <v>214.01832483612736</v>
      </c>
      <c r="U34" s="70">
        <f>VLOOKUP($B34,[1]Sheet7!$H$2:$M$93,4,0)</f>
        <v>251603.76000000213</v>
      </c>
      <c r="V34" s="70">
        <f>VLOOKUP($B34,[1]Sheet7!$H$2:$M$93,2,0)</f>
        <v>42601.599999999926</v>
      </c>
      <c r="W34" s="70">
        <f>VLOOKUP($B34,[1]Sheet7!$H$2:$M$93,3,0)</f>
        <v>0</v>
      </c>
      <c r="X34" s="71">
        <f>VLOOKUP($B34,[1]Sheet8!$D$2:$E$93,2,0)</f>
        <v>2126</v>
      </c>
      <c r="Y34" s="71">
        <f>VLOOKUP($B34,[1]Sheet8!$P$3:$Q$94,2,0)</f>
        <v>2644</v>
      </c>
      <c r="Z34" s="71">
        <f>VLOOKUP($B34,[1]Sheet8!$J$3:$K$94,2,0)</f>
        <v>443</v>
      </c>
      <c r="AA34" s="71">
        <f>VLOOKUP($B34,[1]Sheet7!$H$2:$M$93,6,0)</f>
        <v>36752</v>
      </c>
      <c r="AB34" s="57">
        <v>1891.1535714286299</v>
      </c>
      <c r="AC34" s="57">
        <v>1891.1535714286299</v>
      </c>
      <c r="AD34" s="75">
        <v>0</v>
      </c>
      <c r="AE34" s="57">
        <f t="shared" si="4"/>
        <v>2080.2689285714932</v>
      </c>
      <c r="AF34" s="75">
        <v>1.1000000000000001</v>
      </c>
      <c r="AG34" s="77">
        <f>VLOOKUP($B34,[2]Sheet1!$E$2:$I$96,4,0)</f>
        <v>1373</v>
      </c>
      <c r="AH34" s="77">
        <f>VLOOKUP($B34,[2]Sheet1!$E$2:$I$96,5,0)</f>
        <v>190</v>
      </c>
      <c r="AI34" s="77">
        <f t="shared" si="5"/>
        <v>9611</v>
      </c>
      <c r="AJ34" s="61">
        <f t="shared" si="6"/>
        <v>1330</v>
      </c>
      <c r="AK34" s="61">
        <f>VLOOKUP(B34,[2]Sheet9!$D$2:$F$94,3,0)</f>
        <v>98</v>
      </c>
      <c r="AL34" s="61">
        <f>VLOOKUP(B34,[2]Sheet9!$J$3:$L$95,3,0)</f>
        <v>24</v>
      </c>
      <c r="AM34" s="61">
        <f>VLOOKUP(B34,[2]Sheet9!$P$3:$R$95,3,0)</f>
        <v>99</v>
      </c>
      <c r="AN34" s="70">
        <f t="shared" si="7"/>
        <v>-19911.260000000417</v>
      </c>
      <c r="AO34" s="71">
        <f t="shared" si="8"/>
        <v>0</v>
      </c>
      <c r="AP34" s="71">
        <f t="shared" si="9"/>
        <v>52</v>
      </c>
      <c r="AQ34" s="71">
        <f t="shared" si="10"/>
        <v>9.5714285714285552</v>
      </c>
      <c r="AR34" s="71">
        <f t="shared" si="11"/>
        <v>-854.14285714285711</v>
      </c>
      <c r="AS34" s="61" t="str">
        <f t="shared" si="12"/>
        <v>Full of Stock Risk</v>
      </c>
      <c r="AT34" s="57">
        <v>13238.075000000401</v>
      </c>
      <c r="AU34" s="57">
        <f>AG34*7</f>
        <v>9611</v>
      </c>
      <c r="AV34" s="57">
        <f t="shared" si="14"/>
        <v>10699.122500000123</v>
      </c>
      <c r="AW34" s="57">
        <v>13238.075000000401</v>
      </c>
      <c r="AX34" s="57">
        <f>AI34*0.4+AC34*7*0.6</f>
        <v>11787.245000000246</v>
      </c>
      <c r="AY34" s="61">
        <f t="shared" si="15"/>
        <v>1654.7593750000501</v>
      </c>
      <c r="AZ34" s="61">
        <f>IFERROR(VLOOKUP(B34,[3]Sheet2!$E$4:$F$17,2,0),0)</f>
        <v>0</v>
      </c>
      <c r="BA34" s="61">
        <f>AU34/8</f>
        <v>1201.375</v>
      </c>
      <c r="BB34" s="61">
        <f t="shared" si="29"/>
        <v>1337.3903125000154</v>
      </c>
      <c r="BC34" s="61">
        <f t="shared" si="30"/>
        <v>1654.7593750000501</v>
      </c>
      <c r="BD34" s="61">
        <f t="shared" si="31"/>
        <v>1473.4056250000308</v>
      </c>
      <c r="BE34" s="61">
        <f t="shared" si="17"/>
        <v>275.79322916667502</v>
      </c>
      <c r="BF34" s="61">
        <f t="shared" si="18"/>
        <v>200.22916666666666</v>
      </c>
      <c r="BG34" s="61">
        <f t="shared" si="19"/>
        <v>222.89838541666924</v>
      </c>
      <c r="BH34" s="61">
        <f t="shared" si="20"/>
        <v>275.79322916667502</v>
      </c>
      <c r="BI34" s="61">
        <f t="shared" si="21"/>
        <v>245.5676041666718</v>
      </c>
      <c r="BJ34" s="61">
        <f t="shared" si="22"/>
        <v>1.3789661458333751</v>
      </c>
      <c r="BK34" s="61">
        <f t="shared" si="23"/>
        <v>1.0011458333333334</v>
      </c>
      <c r="BL34" s="61">
        <f t="shared" si="24"/>
        <v>1.1144919270833462</v>
      </c>
      <c r="BM34" s="61">
        <f t="shared" si="25"/>
        <v>1.3789661458333751</v>
      </c>
      <c r="BN34" s="61">
        <f t="shared" si="26"/>
        <v>1.227838020833359</v>
      </c>
      <c r="BO34">
        <f t="shared" si="27"/>
        <v>278665.68821428751</v>
      </c>
      <c r="BP34" s="42">
        <f t="shared" si="28"/>
        <v>1473.4056250000308</v>
      </c>
      <c r="BQ34" s="42">
        <f>ROUNDUP(AK34,-1)-50</f>
        <v>50</v>
      </c>
      <c r="BR34" s="42">
        <f t="shared" si="34"/>
        <v>30</v>
      </c>
      <c r="BS34" s="42">
        <v>50</v>
      </c>
      <c r="BT34">
        <f>VLOOKUP($B34,'[4]Food Monitor'!$A$4:$AD$95,16,0)</f>
        <v>40</v>
      </c>
      <c r="BU34">
        <f>VLOOKUP($B34,'[4]Food Monitor'!$A$4:$AD$95,27,0)</f>
        <v>90</v>
      </c>
    </row>
    <row r="35" spans="1:73" ht="16.5" hidden="1">
      <c r="A35" s="51" t="s">
        <v>105</v>
      </c>
      <c r="B35" s="51" t="s">
        <v>183</v>
      </c>
      <c r="C35" s="52" t="s">
        <v>184</v>
      </c>
      <c r="D35" s="51" t="s">
        <v>20</v>
      </c>
      <c r="E35" s="59" t="s">
        <v>20</v>
      </c>
      <c r="F35" s="59" t="s">
        <v>108</v>
      </c>
      <c r="G35" s="63">
        <v>378</v>
      </c>
      <c r="H35" s="61" t="s">
        <v>109</v>
      </c>
      <c r="I35" s="61" t="s">
        <v>151</v>
      </c>
      <c r="J35" s="70">
        <v>228502.73</v>
      </c>
      <c r="K35" s="70">
        <f>J35+14*AB35</f>
        <v>285009.86999999976</v>
      </c>
      <c r="L35" s="71">
        <f t="shared" ref="L35:L66" si="35">J35/AB35</f>
        <v>56.612991207836963</v>
      </c>
      <c r="M35" s="71">
        <v>1170</v>
      </c>
      <c r="N35" s="71">
        <v>450</v>
      </c>
      <c r="O35" s="71">
        <v>2112</v>
      </c>
      <c r="P35" s="51">
        <f t="shared" ref="P35:P66" si="36">R35-Q35</f>
        <v>20</v>
      </c>
      <c r="Q35" s="73">
        <v>45191</v>
      </c>
      <c r="R35" s="73">
        <v>45211</v>
      </c>
      <c r="S35" s="70">
        <f>VLOOKUP(B35,[1]Sheet7!$H$2:$M$93,5,0)</f>
        <v>311616.3400000002</v>
      </c>
      <c r="T35" s="71">
        <f t="shared" ref="T35:T66" si="37">S35/AG35</f>
        <v>101.27277868053305</v>
      </c>
      <c r="U35" s="70">
        <f>VLOOKUP($B35,[1]Sheet7!$H$2:$M$93,4,0)</f>
        <v>257973.52999999962</v>
      </c>
      <c r="V35" s="70">
        <f>VLOOKUP($B35,[1]Sheet7!$H$2:$M$93,2,0)</f>
        <v>53614.139999999883</v>
      </c>
      <c r="W35" s="70">
        <f>VLOOKUP($B35,[1]Sheet7!$H$2:$M$93,3,0)</f>
        <v>0</v>
      </c>
      <c r="X35" s="71">
        <f>VLOOKUP($B35,[1]Sheet8!$D$2:$E$93,2,0)</f>
        <v>1969</v>
      </c>
      <c r="Y35" s="71">
        <f>VLOOKUP($B35,[1]Sheet8!$P$3:$Q$94,2,0)</f>
        <v>3823</v>
      </c>
      <c r="Z35" s="71">
        <f>VLOOKUP($B35,[1]Sheet8!$J$3:$K$94,2,0)</f>
        <v>385</v>
      </c>
      <c r="AA35" s="71">
        <f>VLOOKUP($B35,[1]Sheet7!$H$2:$M$93,6,0)</f>
        <v>40983</v>
      </c>
      <c r="AB35" s="57">
        <v>4036.2242857142701</v>
      </c>
      <c r="AC35" s="57">
        <v>4036.2242857142701</v>
      </c>
      <c r="AD35" s="75">
        <v>0</v>
      </c>
      <c r="AE35" s="57">
        <f t="shared" ref="AE35:AE66" si="38">AC35*1.1</f>
        <v>4439.8467142856971</v>
      </c>
      <c r="AF35" s="75">
        <v>1.1000000000000001</v>
      </c>
      <c r="AG35" s="77">
        <f>VLOOKUP($B35,[2]Sheet1!$E$2:$I$96,4,0)</f>
        <v>3077</v>
      </c>
      <c r="AH35" s="77">
        <f>VLOOKUP($B35,[2]Sheet1!$E$2:$I$96,5,0)</f>
        <v>455</v>
      </c>
      <c r="AI35" s="77">
        <f t="shared" ref="AI35:AI66" si="39">AG35*7</f>
        <v>21539</v>
      </c>
      <c r="AJ35" s="61">
        <f t="shared" ref="AJ35:AJ66" si="40">AH35*7</f>
        <v>3185</v>
      </c>
      <c r="AK35" s="61">
        <f>VLOOKUP(B35,[2]Sheet9!$D$2:$F$94,3,0)</f>
        <v>175</v>
      </c>
      <c r="AL35" s="61">
        <f>VLOOKUP(B35,[2]Sheet9!$J$3:$L$95,3,0)</f>
        <v>56</v>
      </c>
      <c r="AM35" s="61">
        <f>VLOOKUP(B35,[2]Sheet9!$P$3:$R$95,3,0)</f>
        <v>270</v>
      </c>
      <c r="AN35" s="70">
        <f t="shared" ref="AN35:AN66" si="41">J35+AC35*30+AC35*12-S35</f>
        <v>86407.809999999125</v>
      </c>
      <c r="AO35" s="71">
        <f t="shared" ref="AO35:AO66" si="42">IF(AN35/8&gt;0,AN35/8,0)</f>
        <v>10800.976249999891</v>
      </c>
      <c r="AP35" s="71">
        <f t="shared" ref="AP35:AP66" si="43">M35+P35*AK35/7-X35</f>
        <v>-299</v>
      </c>
      <c r="AQ35" s="71">
        <f t="shared" ref="AQ35:AQ66" si="44">N35+P35*AL35/7-Z35</f>
        <v>225</v>
      </c>
      <c r="AR35" s="71">
        <f t="shared" ref="AR35:AR66" si="45">O35+P35*AM35/7-Y35</f>
        <v>-939.57142857142844</v>
      </c>
      <c r="AS35" s="61" t="str">
        <f t="shared" ref="AS35:AS66" si="46">IF(AN35&gt;15000,"Out of Stock Risk",IF(AN35&lt;-15000,"Full of Stock Risk","Normal"))</f>
        <v>Out of Stock Risk</v>
      </c>
      <c r="AT35" s="57">
        <v>28253.569999999901</v>
      </c>
      <c r="AU35" s="57">
        <f>AC35*7</f>
        <v>28253.569999999891</v>
      </c>
      <c r="AV35" s="57">
        <f t="shared" ref="AV35:AV66" si="47">AC35*0.3*7+AI35*0.7</f>
        <v>23553.370999999966</v>
      </c>
      <c r="AW35" s="57">
        <v>28253.569999999901</v>
      </c>
      <c r="AX35" s="57">
        <f>AI35*0.4+AC35*7*0.6</f>
        <v>25567.741999999933</v>
      </c>
      <c r="AY35" s="61">
        <f t="shared" ref="AY35:AY69" si="48">AT35/8</f>
        <v>3531.6962499999877</v>
      </c>
      <c r="AZ35" s="61">
        <f>IFERROR(VLOOKUP(B35,[3]Sheet2!$E$4:$F$17,2,0),0)</f>
        <v>0</v>
      </c>
      <c r="BA35" s="61">
        <f>AU35/8</f>
        <v>3531.6962499999863</v>
      </c>
      <c r="BB35" s="61">
        <f t="shared" si="29"/>
        <v>2944.1713749999958</v>
      </c>
      <c r="BC35" s="61">
        <f t="shared" si="30"/>
        <v>3531.6962499999877</v>
      </c>
      <c r="BD35" s="61">
        <f t="shared" si="31"/>
        <v>3195.9677499999916</v>
      </c>
      <c r="BE35" s="61">
        <f t="shared" ref="BE35:BE66" si="49">AY35/6</f>
        <v>588.61604166666461</v>
      </c>
      <c r="BF35" s="61">
        <f t="shared" ref="BF35:BF66" si="50">BA35/6</f>
        <v>588.61604166666439</v>
      </c>
      <c r="BG35" s="61">
        <f t="shared" ref="BG35:BG66" si="51">BB35/6</f>
        <v>490.69522916666597</v>
      </c>
      <c r="BH35" s="61">
        <f t="shared" ref="BH35:BH66" si="52">BC35/6</f>
        <v>588.61604166666461</v>
      </c>
      <c r="BI35" s="61">
        <f t="shared" ref="BI35:BI66" si="53">BP35/6</f>
        <v>532.66129166666531</v>
      </c>
      <c r="BJ35" s="61">
        <f t="shared" ref="BJ35:BJ66" si="54">AY35/1200</f>
        <v>2.9430802083333232</v>
      </c>
      <c r="BK35" s="61">
        <f t="shared" ref="BK35:BK66" si="55">BA35/1200</f>
        <v>2.9430802083333218</v>
      </c>
      <c r="BL35" s="61">
        <f t="shared" ref="BL35:BL66" si="56">BB35/1200</f>
        <v>2.4534761458333296</v>
      </c>
      <c r="BM35" s="61">
        <f t="shared" ref="BM35:BM66" si="57">BC35/1200</f>
        <v>2.9430802083333232</v>
      </c>
      <c r="BN35" s="61">
        <f t="shared" ref="BN35:BN66" si="58">BP35/1200</f>
        <v>2.6633064583333264</v>
      </c>
      <c r="BO35">
        <f t="shared" ref="BO35:BO66" si="59">S35+SUM(AT35:AX35)-AB35*9-AC35*30</f>
        <v>288085.41585714329</v>
      </c>
      <c r="BP35" s="42">
        <f t="shared" ref="BP35:BP66" si="60">BD35-AZ35</f>
        <v>3195.9677499999916</v>
      </c>
      <c r="BQ35" s="42">
        <f>ROUNDUP(AK35,-1)-100</f>
        <v>80</v>
      </c>
      <c r="BR35" s="42">
        <f t="shared" si="34"/>
        <v>60</v>
      </c>
      <c r="BS35" s="42">
        <f>ROUNDUP(AM35,-1)-100</f>
        <v>170</v>
      </c>
      <c r="BT35">
        <f>VLOOKUP($B35,'[4]Food Monitor'!$A$4:$AD$95,16,0)</f>
        <v>350</v>
      </c>
      <c r="BU35">
        <f>VLOOKUP($B35,'[4]Food Monitor'!$A$4:$AD$95,27,0)</f>
        <v>150</v>
      </c>
    </row>
    <row r="36" spans="1:73" ht="16.5" hidden="1">
      <c r="A36" s="51" t="s">
        <v>105</v>
      </c>
      <c r="B36" s="51" t="s">
        <v>185</v>
      </c>
      <c r="C36" s="52" t="s">
        <v>186</v>
      </c>
      <c r="D36" s="51" t="s">
        <v>20</v>
      </c>
      <c r="E36" s="59" t="s">
        <v>20</v>
      </c>
      <c r="F36" s="59" t="s">
        <v>108</v>
      </c>
      <c r="G36" s="63">
        <v>371</v>
      </c>
      <c r="H36" s="61" t="s">
        <v>116</v>
      </c>
      <c r="I36" s="61" t="s">
        <v>128</v>
      </c>
      <c r="J36" s="70">
        <v>432652.89</v>
      </c>
      <c r="K36" s="70">
        <f>J36+14*AB36</f>
        <v>601951.82000000263</v>
      </c>
      <c r="L36" s="71">
        <f t="shared" si="35"/>
        <v>35.777783474472677</v>
      </c>
      <c r="M36" s="71">
        <v>1800</v>
      </c>
      <c r="N36" s="71">
        <v>720</v>
      </c>
      <c r="O36" s="71">
        <v>3168</v>
      </c>
      <c r="P36" s="51">
        <f t="shared" si="36"/>
        <v>20</v>
      </c>
      <c r="Q36" s="73">
        <v>45191</v>
      </c>
      <c r="R36" s="73">
        <v>45211</v>
      </c>
      <c r="S36" s="70">
        <f>VLOOKUP(B36,[1]Sheet7!$H$2:$M$93,5,0)</f>
        <v>667391.50999999023</v>
      </c>
      <c r="T36" s="71">
        <f t="shared" si="37"/>
        <v>64.889791929994189</v>
      </c>
      <c r="U36" s="70">
        <f>VLOOKUP($B36,[1]Sheet7!$H$2:$M$93,4,0)</f>
        <v>668130.3699999901</v>
      </c>
      <c r="V36" s="70">
        <f>VLOOKUP($B36,[1]Sheet7!$H$2:$M$93,2,0)</f>
        <v>0</v>
      </c>
      <c r="W36" s="70">
        <f>VLOOKUP($B36,[1]Sheet7!$H$2:$M$93,3,0)</f>
        <v>0</v>
      </c>
      <c r="X36" s="71">
        <f>VLOOKUP($B36,[1]Sheet8!$D$2:$E$93,2,0)</f>
        <v>2873</v>
      </c>
      <c r="Y36" s="71">
        <f>VLOOKUP($B36,[1]Sheet8!$P$3:$Q$94,2,0)</f>
        <v>7363</v>
      </c>
      <c r="Z36" s="71">
        <f>VLOOKUP($B36,[1]Sheet8!$J$3:$K$94,2,0)</f>
        <v>962</v>
      </c>
      <c r="AA36" s="71">
        <f>VLOOKUP($B36,[1]Sheet7!$H$2:$M$93,6,0)</f>
        <v>84831</v>
      </c>
      <c r="AB36" s="57">
        <v>12092.7807142859</v>
      </c>
      <c r="AC36" s="57">
        <v>12092.7807142859</v>
      </c>
      <c r="AD36" s="75">
        <v>0</v>
      </c>
      <c r="AE36" s="57">
        <f t="shared" si="38"/>
        <v>13302.058785714491</v>
      </c>
      <c r="AF36" s="75">
        <v>1.1000000000000001</v>
      </c>
      <c r="AG36" s="77">
        <f>VLOOKUP($B36,[2]Sheet1!$E$2:$I$96,4,0)</f>
        <v>10285</v>
      </c>
      <c r="AH36" s="77">
        <f>VLOOKUP($B36,[2]Sheet1!$E$2:$I$96,5,0)</f>
        <v>1530</v>
      </c>
      <c r="AI36" s="77">
        <f t="shared" si="39"/>
        <v>71995</v>
      </c>
      <c r="AJ36" s="61">
        <f t="shared" si="40"/>
        <v>10710</v>
      </c>
      <c r="AK36" s="61">
        <f>VLOOKUP(B36,[2]Sheet9!$D$2:$F$94,3,0)</f>
        <v>540</v>
      </c>
      <c r="AL36" s="61">
        <f>VLOOKUP(B36,[2]Sheet9!$J$3:$L$95,3,0)</f>
        <v>130</v>
      </c>
      <c r="AM36" s="61">
        <f>VLOOKUP(B36,[2]Sheet9!$P$3:$R$95,3,0)</f>
        <v>632</v>
      </c>
      <c r="AN36" s="70">
        <f t="shared" si="41"/>
        <v>273158.1700000175</v>
      </c>
      <c r="AO36" s="71">
        <f t="shared" si="42"/>
        <v>34144.771250002188</v>
      </c>
      <c r="AP36" s="71">
        <f t="shared" si="43"/>
        <v>469.85714285714312</v>
      </c>
      <c r="AQ36" s="71">
        <f t="shared" si="44"/>
        <v>129.42857142857156</v>
      </c>
      <c r="AR36" s="71">
        <f t="shared" si="45"/>
        <v>-2389.2857142857138</v>
      </c>
      <c r="AS36" s="61" t="str">
        <f t="shared" si="46"/>
        <v>Out of Stock Risk</v>
      </c>
      <c r="AT36" s="57">
        <v>84649.465000001495</v>
      </c>
      <c r="AU36" s="57">
        <f>AC36*7</f>
        <v>84649.465000001306</v>
      </c>
      <c r="AV36" s="57">
        <f t="shared" si="47"/>
        <v>75791.339500000395</v>
      </c>
      <c r="AW36" s="57">
        <v>84649.465000001495</v>
      </c>
      <c r="AX36" s="57">
        <f>AI36*1.2</f>
        <v>86394</v>
      </c>
      <c r="AY36" s="61">
        <f t="shared" si="48"/>
        <v>10581.183125000187</v>
      </c>
      <c r="AZ36" s="61">
        <f>IFERROR(VLOOKUP(B36,[3]Sheet2!$E$4:$F$17,2,0),0)</f>
        <v>3500</v>
      </c>
      <c r="BA36" s="61">
        <f>AU36/8-AZ36</f>
        <v>7081.1831250001633</v>
      </c>
      <c r="BB36" s="61">
        <f t="shared" si="29"/>
        <v>9473.9174375000493</v>
      </c>
      <c r="BC36" s="61">
        <f t="shared" si="30"/>
        <v>10581.183125000187</v>
      </c>
      <c r="BD36" s="61">
        <f t="shared" si="31"/>
        <v>10799.25</v>
      </c>
      <c r="BE36" s="61">
        <f t="shared" si="49"/>
        <v>1763.5305208333646</v>
      </c>
      <c r="BF36" s="61">
        <f t="shared" si="50"/>
        <v>1180.1971875000272</v>
      </c>
      <c r="BG36" s="61">
        <f t="shared" si="51"/>
        <v>1578.9862395833416</v>
      </c>
      <c r="BH36" s="61">
        <f t="shared" si="52"/>
        <v>1763.5305208333646</v>
      </c>
      <c r="BI36" s="61">
        <f t="shared" si="53"/>
        <v>1216.5416666666667</v>
      </c>
      <c r="BJ36" s="61">
        <f t="shared" si="54"/>
        <v>8.8176526041668222</v>
      </c>
      <c r="BK36" s="61">
        <f t="shared" si="55"/>
        <v>5.9009859375001357</v>
      </c>
      <c r="BL36" s="61">
        <f t="shared" si="56"/>
        <v>7.8949311979167076</v>
      </c>
      <c r="BM36" s="61">
        <f t="shared" si="57"/>
        <v>8.8176526041668222</v>
      </c>
      <c r="BN36" s="61">
        <f t="shared" si="58"/>
        <v>6.0827083333333336</v>
      </c>
      <c r="BO36">
        <f t="shared" si="59"/>
        <v>611906.7966428448</v>
      </c>
      <c r="BP36" s="42">
        <f t="shared" si="60"/>
        <v>7299.25</v>
      </c>
      <c r="BQ36" s="42">
        <f>ROUNDUP(AK36,-1)</f>
        <v>540</v>
      </c>
      <c r="BR36" s="42">
        <f t="shared" si="34"/>
        <v>130</v>
      </c>
      <c r="BS36" s="42">
        <f>ROUNDUP(AM36,-1)-100</f>
        <v>540</v>
      </c>
      <c r="BT36">
        <f>VLOOKUP($B36,'[4]Food Monitor'!$A$4:$AD$95,16,0)</f>
        <v>800</v>
      </c>
      <c r="BU36">
        <f>VLOOKUP($B36,'[4]Food Monitor'!$A$4:$AD$95,27,0)</f>
        <v>240</v>
      </c>
    </row>
    <row r="37" spans="1:73" ht="16.5" hidden="1">
      <c r="A37" s="51" t="s">
        <v>105</v>
      </c>
      <c r="B37" s="51" t="s">
        <v>187</v>
      </c>
      <c r="C37" s="52" t="s">
        <v>188</v>
      </c>
      <c r="D37" s="51" t="s">
        <v>11</v>
      </c>
      <c r="E37" s="59" t="s">
        <v>11</v>
      </c>
      <c r="F37" s="59" t="s">
        <v>189</v>
      </c>
      <c r="G37" s="63">
        <v>488</v>
      </c>
      <c r="H37" s="61" t="s">
        <v>121</v>
      </c>
      <c r="I37" s="61" t="s">
        <v>166</v>
      </c>
      <c r="J37" s="70">
        <v>191787.74</v>
      </c>
      <c r="K37" s="70">
        <f>J37+21*AB37</f>
        <v>237253.74500000131</v>
      </c>
      <c r="L37" s="71">
        <f t="shared" si="35"/>
        <v>88.583603067827994</v>
      </c>
      <c r="M37" s="71">
        <v>900</v>
      </c>
      <c r="N37" s="71">
        <v>360</v>
      </c>
      <c r="O37" s="71">
        <v>1408</v>
      </c>
      <c r="P37" s="51">
        <f t="shared" si="36"/>
        <v>27</v>
      </c>
      <c r="Q37" s="73">
        <v>45191</v>
      </c>
      <c r="R37" s="73">
        <v>45218</v>
      </c>
      <c r="S37" s="70">
        <f>VLOOKUP(B37,[1]Sheet7!$H$2:$M$93,5,0)</f>
        <v>466874.00000000274</v>
      </c>
      <c r="T37" s="71">
        <f t="shared" si="37"/>
        <v>402.13092161929609</v>
      </c>
      <c r="U37" s="70">
        <f>VLOOKUP($B37,[1]Sheet7!$H$2:$M$93,4,0)</f>
        <v>210831.52000000104</v>
      </c>
      <c r="V37" s="70">
        <f>VLOOKUP($B37,[1]Sheet7!$H$2:$M$93,2,0)</f>
        <v>241628.66000000166</v>
      </c>
      <c r="W37" s="70">
        <f>VLOOKUP($B37,[1]Sheet7!$H$2:$M$93,3,0)</f>
        <v>14752.850000000002</v>
      </c>
      <c r="X37" s="71">
        <f>VLOOKUP($B37,[1]Sheet8!$D$2:$E$93,2,0)</f>
        <v>2638</v>
      </c>
      <c r="Y37" s="71">
        <f>VLOOKUP($B37,[1]Sheet8!$P$3:$Q$94,2,0)</f>
        <v>6616</v>
      </c>
      <c r="Z37" s="71">
        <f>VLOOKUP($B37,[1]Sheet8!$J$3:$K$94,2,0)</f>
        <v>371</v>
      </c>
      <c r="AA37" s="71">
        <f>VLOOKUP($B37,[1]Sheet7!$H$2:$M$93,6,0)</f>
        <v>58093</v>
      </c>
      <c r="AB37" s="57">
        <v>2165.0478571429198</v>
      </c>
      <c r="AC37" s="57">
        <v>2165.0478571429198</v>
      </c>
      <c r="AD37" s="75">
        <v>0</v>
      </c>
      <c r="AE37" s="57">
        <f t="shared" si="38"/>
        <v>2381.552642857212</v>
      </c>
      <c r="AF37" s="75">
        <v>1.1000000000000001</v>
      </c>
      <c r="AG37" s="77">
        <f>VLOOKUP($B37,[2]Sheet1!$E$2:$I$96,4,0)</f>
        <v>1161</v>
      </c>
      <c r="AH37" s="77">
        <f>VLOOKUP($B37,[2]Sheet1!$E$2:$I$96,5,0)</f>
        <v>175</v>
      </c>
      <c r="AI37" s="77">
        <f t="shared" si="39"/>
        <v>8127</v>
      </c>
      <c r="AJ37" s="61">
        <f t="shared" si="40"/>
        <v>1225</v>
      </c>
      <c r="AK37" s="61">
        <f>VLOOKUP(B37,[2]Sheet9!$D$2:$F$94,3,0)</f>
        <v>89</v>
      </c>
      <c r="AL37" s="61">
        <f>VLOOKUP(B37,[2]Sheet9!$J$3:$L$95,3,0)</f>
        <v>9</v>
      </c>
      <c r="AM37" s="61">
        <f>VLOOKUP(B37,[2]Sheet9!$P$3:$R$95,3,0)</f>
        <v>98</v>
      </c>
      <c r="AN37" s="70">
        <f t="shared" si="41"/>
        <v>-184154.25000000012</v>
      </c>
      <c r="AO37" s="71">
        <f t="shared" si="42"/>
        <v>0</v>
      </c>
      <c r="AP37" s="71">
        <f t="shared" si="43"/>
        <v>-1394.7142857142858</v>
      </c>
      <c r="AQ37" s="71">
        <f t="shared" si="44"/>
        <v>23.714285714285722</v>
      </c>
      <c r="AR37" s="71">
        <f t="shared" si="45"/>
        <v>-4830</v>
      </c>
      <c r="AS37" s="61" t="str">
        <f t="shared" si="46"/>
        <v>Full of Stock Risk</v>
      </c>
      <c r="AT37" s="57">
        <v>15155.335000000499</v>
      </c>
      <c r="AU37" s="57">
        <f>AG37*7</f>
        <v>8127</v>
      </c>
      <c r="AV37" s="57">
        <f t="shared" si="47"/>
        <v>10235.500500000131</v>
      </c>
      <c r="AW37" s="57">
        <v>15155.335000000499</v>
      </c>
      <c r="AX37" s="57">
        <f>AI37*0.6+AC37*7*0.4</f>
        <v>10938.334000000177</v>
      </c>
      <c r="AY37" s="61">
        <f t="shared" si="48"/>
        <v>1894.4168750000624</v>
      </c>
      <c r="AZ37" s="61">
        <f>IFERROR(VLOOKUP(B37,[3]Sheet2!$E$4:$F$17,2,0),0)</f>
        <v>0</v>
      </c>
      <c r="BA37" s="61">
        <f t="shared" ref="BA37:BA48" si="61">AU37/8</f>
        <v>1015.875</v>
      </c>
      <c r="BB37" s="61">
        <f t="shared" si="29"/>
        <v>1279.4375625000164</v>
      </c>
      <c r="BC37" s="61">
        <f t="shared" si="30"/>
        <v>1894.4168750000624</v>
      </c>
      <c r="BD37" s="61">
        <f t="shared" si="31"/>
        <v>1367.2917500000221</v>
      </c>
      <c r="BE37" s="61">
        <f t="shared" si="49"/>
        <v>315.73614583334376</v>
      </c>
      <c r="BF37" s="61">
        <f t="shared" si="50"/>
        <v>169.3125</v>
      </c>
      <c r="BG37" s="61">
        <f t="shared" si="51"/>
        <v>213.23959375000274</v>
      </c>
      <c r="BH37" s="61">
        <f t="shared" si="52"/>
        <v>315.73614583334376</v>
      </c>
      <c r="BI37" s="61">
        <f t="shared" si="53"/>
        <v>227.88195833333702</v>
      </c>
      <c r="BJ37" s="61">
        <f t="shared" si="54"/>
        <v>1.5786807291667186</v>
      </c>
      <c r="BK37" s="61">
        <f t="shared" si="55"/>
        <v>0.8465625</v>
      </c>
      <c r="BL37" s="61">
        <f t="shared" si="56"/>
        <v>1.0661979687500136</v>
      </c>
      <c r="BM37" s="61">
        <f t="shared" si="57"/>
        <v>1.5786807291667186</v>
      </c>
      <c r="BN37" s="61">
        <f t="shared" si="58"/>
        <v>1.1394097916666852</v>
      </c>
      <c r="BO37">
        <f t="shared" si="59"/>
        <v>442048.63807143015</v>
      </c>
      <c r="BP37" s="42">
        <f t="shared" si="60"/>
        <v>1367.2917500000221</v>
      </c>
      <c r="BQ37" s="42">
        <v>0</v>
      </c>
      <c r="BR37" s="42">
        <f t="shared" si="34"/>
        <v>10</v>
      </c>
      <c r="BS37" s="42">
        <v>50</v>
      </c>
      <c r="BT37">
        <f>VLOOKUP($B37,'[4]Food Monitor'!$A$4:$AD$95,16,0)</f>
        <v>20</v>
      </c>
      <c r="BU37">
        <f>VLOOKUP($B37,'[4]Food Monitor'!$A$4:$AD$95,27,0)</f>
        <v>80</v>
      </c>
    </row>
    <row r="38" spans="1:73" ht="16.5" hidden="1">
      <c r="A38" s="51" t="s">
        <v>105</v>
      </c>
      <c r="B38" s="51" t="s">
        <v>190</v>
      </c>
      <c r="C38" s="52" t="s">
        <v>191</v>
      </c>
      <c r="D38" s="51" t="s">
        <v>20</v>
      </c>
      <c r="E38" s="59" t="s">
        <v>20</v>
      </c>
      <c r="F38" s="59" t="s">
        <v>108</v>
      </c>
      <c r="G38" s="63">
        <v>198</v>
      </c>
      <c r="H38" s="61" t="s">
        <v>109</v>
      </c>
      <c r="I38" s="61" t="s">
        <v>151</v>
      </c>
      <c r="J38" s="70">
        <v>262742.03000000003</v>
      </c>
      <c r="K38" s="70">
        <f>J38+14*AB38</f>
        <v>336091.18000000098</v>
      </c>
      <c r="L38" s="71">
        <f t="shared" si="35"/>
        <v>50.149025857831361</v>
      </c>
      <c r="M38" s="71">
        <v>1260</v>
      </c>
      <c r="N38" s="71">
        <v>720</v>
      </c>
      <c r="O38" s="71">
        <v>2112</v>
      </c>
      <c r="P38" s="51">
        <f t="shared" si="36"/>
        <v>20</v>
      </c>
      <c r="Q38" s="73">
        <v>45191</v>
      </c>
      <c r="R38" s="73">
        <v>45211</v>
      </c>
      <c r="S38" s="70">
        <f>VLOOKUP(B38,[1]Sheet7!$H$2:$M$93,5,0)</f>
        <v>373421.78000000172</v>
      </c>
      <c r="T38" s="71">
        <f t="shared" si="37"/>
        <v>86.721267998142523</v>
      </c>
      <c r="U38" s="70">
        <f>VLOOKUP($B38,[1]Sheet7!$H$2:$M$93,4,0)</f>
        <v>299245.21000000124</v>
      </c>
      <c r="V38" s="70">
        <f>VLOOKUP($B38,[1]Sheet7!$H$2:$M$93,2,0)</f>
        <v>74287.839999999822</v>
      </c>
      <c r="W38" s="70">
        <f>VLOOKUP($B38,[1]Sheet7!$H$2:$M$93,3,0)</f>
        <v>0</v>
      </c>
      <c r="X38" s="71">
        <f>VLOOKUP($B38,[1]Sheet8!$D$2:$E$93,2,0)</f>
        <v>2519</v>
      </c>
      <c r="Y38" s="71">
        <f>VLOOKUP($B38,[1]Sheet8!$P$3:$Q$94,2,0)</f>
        <v>3912</v>
      </c>
      <c r="Z38" s="71">
        <f>VLOOKUP($B38,[1]Sheet8!$J$3:$K$94,2,0)</f>
        <v>513</v>
      </c>
      <c r="AA38" s="71">
        <f>VLOOKUP($B38,[1]Sheet7!$H$2:$M$93,6,0)</f>
        <v>49407</v>
      </c>
      <c r="AB38" s="57">
        <v>5239.2250000000704</v>
      </c>
      <c r="AC38" s="57">
        <v>5239.2250000000704</v>
      </c>
      <c r="AD38" s="75">
        <v>0</v>
      </c>
      <c r="AE38" s="57">
        <f t="shared" si="38"/>
        <v>5763.1475000000783</v>
      </c>
      <c r="AF38" s="75">
        <v>1.1000000000000001</v>
      </c>
      <c r="AG38" s="77">
        <f>VLOOKUP($B38,[2]Sheet1!$E$2:$I$96,4,0)</f>
        <v>4306</v>
      </c>
      <c r="AH38" s="77">
        <f>VLOOKUP($B38,[2]Sheet1!$E$2:$I$96,5,0)</f>
        <v>628</v>
      </c>
      <c r="AI38" s="77">
        <f t="shared" si="39"/>
        <v>30142</v>
      </c>
      <c r="AJ38" s="61">
        <f t="shared" si="40"/>
        <v>4396</v>
      </c>
      <c r="AK38" s="61">
        <f>VLOOKUP(B38,[2]Sheet9!$D$2:$F$94,3,0)</f>
        <v>332</v>
      </c>
      <c r="AL38" s="61">
        <f>VLOOKUP(B38,[2]Sheet9!$J$3:$L$95,3,0)</f>
        <v>79</v>
      </c>
      <c r="AM38" s="61">
        <f>VLOOKUP(B38,[2]Sheet9!$P$3:$R$95,3,0)</f>
        <v>339</v>
      </c>
      <c r="AN38" s="70">
        <f t="shared" si="41"/>
        <v>109367.70000000123</v>
      </c>
      <c r="AO38" s="71">
        <f t="shared" si="42"/>
        <v>13670.962500000154</v>
      </c>
      <c r="AP38" s="71">
        <f t="shared" si="43"/>
        <v>-310.42857142857156</v>
      </c>
      <c r="AQ38" s="71">
        <f t="shared" si="44"/>
        <v>432.71428571428578</v>
      </c>
      <c r="AR38" s="71">
        <f t="shared" si="45"/>
        <v>-831.42857142857156</v>
      </c>
      <c r="AS38" s="61" t="str">
        <f t="shared" si="46"/>
        <v>Out of Stock Risk</v>
      </c>
      <c r="AT38" s="57">
        <v>36674.575000000499</v>
      </c>
      <c r="AU38" s="57">
        <f>AC38*7</f>
        <v>36674.575000000492</v>
      </c>
      <c r="AV38" s="57">
        <f t="shared" si="47"/>
        <v>32101.772500000145</v>
      </c>
      <c r="AW38" s="57">
        <v>36674.575000000499</v>
      </c>
      <c r="AX38" s="57">
        <f>AI38*1.17</f>
        <v>35266.14</v>
      </c>
      <c r="AY38" s="61">
        <f t="shared" si="48"/>
        <v>4584.3218750000624</v>
      </c>
      <c r="AZ38" s="61">
        <f>IFERROR(VLOOKUP(B38,[3]Sheet2!$E$4:$F$17,2,0),0)</f>
        <v>0</v>
      </c>
      <c r="BA38" s="61">
        <f t="shared" si="61"/>
        <v>4584.3218750000615</v>
      </c>
      <c r="BB38" s="61">
        <f t="shared" si="29"/>
        <v>4012.7215625000181</v>
      </c>
      <c r="BC38" s="61">
        <f t="shared" si="30"/>
        <v>4584.3218750000624</v>
      </c>
      <c r="BD38" s="61">
        <f t="shared" si="31"/>
        <v>4408.2674999999999</v>
      </c>
      <c r="BE38" s="61">
        <f t="shared" si="49"/>
        <v>764.05364583334369</v>
      </c>
      <c r="BF38" s="61">
        <f t="shared" si="50"/>
        <v>764.05364583334358</v>
      </c>
      <c r="BG38" s="61">
        <f t="shared" si="51"/>
        <v>668.78692708333631</v>
      </c>
      <c r="BH38" s="61">
        <f t="shared" si="52"/>
        <v>764.05364583334369</v>
      </c>
      <c r="BI38" s="61">
        <f t="shared" si="53"/>
        <v>734.71124999999995</v>
      </c>
      <c r="BJ38" s="61">
        <f t="shared" si="54"/>
        <v>3.8202682291667185</v>
      </c>
      <c r="BK38" s="61">
        <f t="shared" si="55"/>
        <v>3.820268229166718</v>
      </c>
      <c r="BL38" s="61">
        <f t="shared" si="56"/>
        <v>3.3439346354166819</v>
      </c>
      <c r="BM38" s="61">
        <f t="shared" si="57"/>
        <v>3.8202682291667185</v>
      </c>
      <c r="BN38" s="61">
        <f t="shared" si="58"/>
        <v>3.6735562499999999</v>
      </c>
      <c r="BO38">
        <f t="shared" si="59"/>
        <v>346483.64250000066</v>
      </c>
      <c r="BP38" s="42">
        <f t="shared" si="60"/>
        <v>4408.2674999999999</v>
      </c>
      <c r="BQ38" s="42">
        <f>ROUNDUP(AK38,-1)-100</f>
        <v>240</v>
      </c>
      <c r="BR38" s="42">
        <f t="shared" si="34"/>
        <v>80</v>
      </c>
      <c r="BS38" s="42">
        <f>ROUNDUP(AM38,-1)-100</f>
        <v>240</v>
      </c>
      <c r="BT38">
        <f>VLOOKUP($B38,'[4]Food Monitor'!$A$4:$AD$95,16,0)</f>
        <v>400</v>
      </c>
      <c r="BU38">
        <f>VLOOKUP($B38,'[4]Food Monitor'!$A$4:$AD$95,27,0)</f>
        <v>100</v>
      </c>
    </row>
    <row r="39" spans="1:73" ht="16.5" hidden="1">
      <c r="A39" s="51" t="s">
        <v>105</v>
      </c>
      <c r="B39" s="51" t="s">
        <v>192</v>
      </c>
      <c r="C39" s="52" t="s">
        <v>193</v>
      </c>
      <c r="D39" s="51" t="s">
        <v>11</v>
      </c>
      <c r="E39" s="59" t="s">
        <v>11</v>
      </c>
      <c r="F39" s="59" t="s">
        <v>194</v>
      </c>
      <c r="G39" s="63">
        <v>382</v>
      </c>
      <c r="H39" s="61" t="s">
        <v>121</v>
      </c>
      <c r="I39" s="61" t="s">
        <v>113</v>
      </c>
      <c r="J39" s="70">
        <v>234666.8</v>
      </c>
      <c r="K39" s="70">
        <f>J39+21*AB39</f>
        <v>289505.60000000172</v>
      </c>
      <c r="L39" s="71">
        <f t="shared" si="35"/>
        <v>89.863432460226079</v>
      </c>
      <c r="M39" s="71">
        <v>1710</v>
      </c>
      <c r="N39" s="71">
        <v>450</v>
      </c>
      <c r="O39" s="71">
        <v>1408</v>
      </c>
      <c r="P39" s="51">
        <f t="shared" si="36"/>
        <v>27</v>
      </c>
      <c r="Q39" s="73">
        <v>45191</v>
      </c>
      <c r="R39" s="73">
        <v>45218</v>
      </c>
      <c r="S39" s="70">
        <f>VLOOKUP(B39,[1]Sheet7!$H$2:$M$93,5,0)</f>
        <v>337021.57000000123</v>
      </c>
      <c r="T39" s="71">
        <f t="shared" si="37"/>
        <v>191.4895284090916</v>
      </c>
      <c r="U39" s="70">
        <f>VLOOKUP($B39,[1]Sheet7!$H$2:$M$93,4,0)</f>
        <v>284288.49000000092</v>
      </c>
      <c r="V39" s="70">
        <f>VLOOKUP($B39,[1]Sheet7!$H$2:$M$93,2,0)</f>
        <v>53109.889999999956</v>
      </c>
      <c r="W39" s="70">
        <f>VLOOKUP($B39,[1]Sheet7!$H$2:$M$93,3,0)</f>
        <v>0</v>
      </c>
      <c r="X39" s="71">
        <f>VLOOKUP($B39,[1]Sheet8!$D$2:$E$93,2,0)</f>
        <v>2694</v>
      </c>
      <c r="Y39" s="71">
        <f>VLOOKUP($B39,[1]Sheet8!$P$3:$Q$94,2,0)</f>
        <v>2508</v>
      </c>
      <c r="Z39" s="71">
        <f>VLOOKUP($B39,[1]Sheet8!$J$3:$K$94,2,0)</f>
        <v>453</v>
      </c>
      <c r="AA39" s="71">
        <f>VLOOKUP($B39,[1]Sheet7!$H$2:$M$93,6,0)</f>
        <v>44241</v>
      </c>
      <c r="AB39" s="57">
        <v>2611.37142857151</v>
      </c>
      <c r="AC39" s="57">
        <v>2611.37142857151</v>
      </c>
      <c r="AD39" s="75">
        <v>0</v>
      </c>
      <c r="AE39" s="57">
        <f t="shared" si="38"/>
        <v>2872.5085714286611</v>
      </c>
      <c r="AF39" s="75">
        <v>1.1000000000000001</v>
      </c>
      <c r="AG39" s="77">
        <f>VLOOKUP($B39,[2]Sheet1!$E$2:$I$96,4,0)</f>
        <v>1760</v>
      </c>
      <c r="AH39" s="77">
        <f>VLOOKUP($B39,[2]Sheet1!$E$2:$I$96,5,0)</f>
        <v>272</v>
      </c>
      <c r="AI39" s="77">
        <f t="shared" si="39"/>
        <v>12320</v>
      </c>
      <c r="AJ39" s="61">
        <f t="shared" si="40"/>
        <v>1904</v>
      </c>
      <c r="AK39" s="61">
        <f>VLOOKUP(B39,[2]Sheet9!$D$2:$F$94,3,0)</f>
        <v>149</v>
      </c>
      <c r="AL39" s="61">
        <f>VLOOKUP(B39,[2]Sheet9!$J$3:$L$95,3,0)</f>
        <v>29</v>
      </c>
      <c r="AM39" s="61">
        <f>VLOOKUP(B39,[2]Sheet9!$P$3:$R$95,3,0)</f>
        <v>100</v>
      </c>
      <c r="AN39" s="70">
        <f t="shared" si="41"/>
        <v>7322.83000000217</v>
      </c>
      <c r="AO39" s="71">
        <f t="shared" si="42"/>
        <v>915.35375000027125</v>
      </c>
      <c r="AP39" s="71">
        <f t="shared" si="43"/>
        <v>-409.28571428571422</v>
      </c>
      <c r="AQ39" s="71">
        <f t="shared" si="44"/>
        <v>108.85714285714289</v>
      </c>
      <c r="AR39" s="71">
        <f t="shared" si="45"/>
        <v>-714.28571428571422</v>
      </c>
      <c r="AS39" s="61" t="str">
        <f t="shared" si="46"/>
        <v>Normal</v>
      </c>
      <c r="AT39" s="57">
        <v>18279.600000000599</v>
      </c>
      <c r="AU39" s="57">
        <f>AC39*7</f>
        <v>18279.60000000057</v>
      </c>
      <c r="AV39" s="57">
        <f t="shared" si="47"/>
        <v>14107.880000000172</v>
      </c>
      <c r="AW39" s="57">
        <v>18279.600000000599</v>
      </c>
      <c r="AX39" s="57">
        <f>AI39*0.4+AC39*7*0.6</f>
        <v>15895.760000000342</v>
      </c>
      <c r="AY39" s="61">
        <f t="shared" si="48"/>
        <v>2284.9500000000749</v>
      </c>
      <c r="AZ39" s="61">
        <f>IFERROR(VLOOKUP(B39,[3]Sheet2!$E$4:$F$17,2,0),0)</f>
        <v>0</v>
      </c>
      <c r="BA39" s="61">
        <f t="shared" si="61"/>
        <v>2284.9500000000712</v>
      </c>
      <c r="BB39" s="61">
        <f t="shared" si="29"/>
        <v>1763.4850000000215</v>
      </c>
      <c r="BC39" s="61">
        <f t="shared" si="30"/>
        <v>2284.9500000000749</v>
      </c>
      <c r="BD39" s="61">
        <f t="shared" si="31"/>
        <v>1986.9700000000428</v>
      </c>
      <c r="BE39" s="61">
        <f t="shared" si="49"/>
        <v>380.82500000001249</v>
      </c>
      <c r="BF39" s="61">
        <f t="shared" si="50"/>
        <v>380.82500000001187</v>
      </c>
      <c r="BG39" s="61">
        <f t="shared" si="51"/>
        <v>293.91416666667027</v>
      </c>
      <c r="BH39" s="61">
        <f t="shared" si="52"/>
        <v>380.82500000001249</v>
      </c>
      <c r="BI39" s="61">
        <f t="shared" si="53"/>
        <v>331.1616666666738</v>
      </c>
      <c r="BJ39" s="61">
        <f t="shared" si="54"/>
        <v>1.9041250000000625</v>
      </c>
      <c r="BK39" s="61">
        <f t="shared" si="55"/>
        <v>1.9041250000000594</v>
      </c>
      <c r="BL39" s="61">
        <f t="shared" si="56"/>
        <v>1.4695708333333513</v>
      </c>
      <c r="BM39" s="61">
        <f t="shared" si="57"/>
        <v>1.9041250000000625</v>
      </c>
      <c r="BN39" s="61">
        <f t="shared" si="58"/>
        <v>1.6558083333333691</v>
      </c>
      <c r="BO39">
        <f t="shared" si="59"/>
        <v>320020.52428571461</v>
      </c>
      <c r="BP39" s="42">
        <f t="shared" si="60"/>
        <v>1986.9700000000428</v>
      </c>
      <c r="BQ39" s="42">
        <f>ROUNDUP(AK39,-1)-100</f>
        <v>50</v>
      </c>
      <c r="BR39" s="42">
        <f t="shared" si="34"/>
        <v>30</v>
      </c>
      <c r="BS39" s="42">
        <v>50</v>
      </c>
      <c r="BT39">
        <f>VLOOKUP($B39,'[4]Food Monitor'!$A$4:$AD$95,16,0)</f>
        <v>200</v>
      </c>
      <c r="BU39">
        <f>VLOOKUP($B39,'[4]Food Monitor'!$A$4:$AD$95,27,0)</f>
        <v>110</v>
      </c>
    </row>
    <row r="40" spans="1:73" ht="16.5" hidden="1">
      <c r="A40" s="51" t="s">
        <v>105</v>
      </c>
      <c r="B40" s="51" t="s">
        <v>195</v>
      </c>
      <c r="C40" s="52" t="s">
        <v>196</v>
      </c>
      <c r="D40" s="51" t="s">
        <v>11</v>
      </c>
      <c r="E40" s="59" t="s">
        <v>11</v>
      </c>
      <c r="F40" s="59" t="s">
        <v>197</v>
      </c>
      <c r="G40" s="63">
        <v>190</v>
      </c>
      <c r="H40" s="61" t="s">
        <v>109</v>
      </c>
      <c r="I40" s="61" t="s">
        <v>166</v>
      </c>
      <c r="J40" s="70">
        <v>222153.19</v>
      </c>
      <c r="K40" s="70">
        <f>J40+21*AB40</f>
        <v>277322.51500000159</v>
      </c>
      <c r="L40" s="71">
        <f t="shared" si="35"/>
        <v>84.561792082826202</v>
      </c>
      <c r="M40" s="71">
        <v>900</v>
      </c>
      <c r="N40" s="71">
        <v>450</v>
      </c>
      <c r="O40" s="71">
        <v>2112</v>
      </c>
      <c r="P40" s="51">
        <f t="shared" si="36"/>
        <v>27</v>
      </c>
      <c r="Q40" s="73">
        <v>45191</v>
      </c>
      <c r="R40" s="73">
        <v>45218</v>
      </c>
      <c r="S40" s="70">
        <f>VLOOKUP(B40,[1]Sheet7!$H$2:$M$93,5,0)</f>
        <v>320924.79000000312</v>
      </c>
      <c r="T40" s="71">
        <f t="shared" si="37"/>
        <v>165.25478372811696</v>
      </c>
      <c r="U40" s="70">
        <f>VLOOKUP($B40,[1]Sheet7!$H$2:$M$93,4,0)</f>
        <v>213682.00000000087</v>
      </c>
      <c r="V40" s="70">
        <f>VLOOKUP($B40,[1]Sheet7!$H$2:$M$93,2,0)</f>
        <v>107251.75999999957</v>
      </c>
      <c r="W40" s="70">
        <f>VLOOKUP($B40,[1]Sheet7!$H$2:$M$93,3,0)</f>
        <v>0</v>
      </c>
      <c r="X40" s="71">
        <f>VLOOKUP($B40,[1]Sheet8!$D$2:$E$93,2,0)</f>
        <v>1881</v>
      </c>
      <c r="Y40" s="71">
        <f>VLOOKUP($B40,[1]Sheet8!$P$3:$Q$94,2,0)</f>
        <v>3320</v>
      </c>
      <c r="Z40" s="71">
        <f>VLOOKUP($B40,[1]Sheet8!$J$3:$K$94,2,0)</f>
        <v>395</v>
      </c>
      <c r="AA40" s="71">
        <f>VLOOKUP($B40,[1]Sheet7!$H$2:$M$93,6,0)</f>
        <v>39222</v>
      </c>
      <c r="AB40" s="57">
        <v>2627.11071428579</v>
      </c>
      <c r="AC40" s="57">
        <v>2627.11071428579</v>
      </c>
      <c r="AD40" s="75">
        <v>0</v>
      </c>
      <c r="AE40" s="57">
        <f t="shared" si="38"/>
        <v>2889.8217857143691</v>
      </c>
      <c r="AF40" s="75">
        <v>1.1000000000000001</v>
      </c>
      <c r="AG40" s="77">
        <f>VLOOKUP($B40,[2]Sheet1!$E$2:$I$96,4,0)</f>
        <v>1942</v>
      </c>
      <c r="AH40" s="77">
        <f>VLOOKUP($B40,[2]Sheet1!$E$2:$I$96,5,0)</f>
        <v>289</v>
      </c>
      <c r="AI40" s="77">
        <f t="shared" si="39"/>
        <v>13594</v>
      </c>
      <c r="AJ40" s="61">
        <f t="shared" si="40"/>
        <v>2023</v>
      </c>
      <c r="AK40" s="61">
        <f>VLOOKUP(B40,[2]Sheet9!$D$2:$F$94,3,0)</f>
        <v>99</v>
      </c>
      <c r="AL40" s="61">
        <f>VLOOKUP(B40,[2]Sheet9!$J$3:$L$95,3,0)</f>
        <v>27</v>
      </c>
      <c r="AM40" s="61">
        <f>VLOOKUP(B40,[2]Sheet9!$P$3:$R$95,3,0)</f>
        <v>200</v>
      </c>
      <c r="AN40" s="70">
        <f t="shared" si="41"/>
        <v>11567.050000000047</v>
      </c>
      <c r="AO40" s="71">
        <f t="shared" si="42"/>
        <v>1445.8812500000058</v>
      </c>
      <c r="AP40" s="71">
        <f t="shared" si="43"/>
        <v>-599.14285714285711</v>
      </c>
      <c r="AQ40" s="71">
        <f t="shared" si="44"/>
        <v>159.14285714285711</v>
      </c>
      <c r="AR40" s="71">
        <f t="shared" si="45"/>
        <v>-436.57142857142844</v>
      </c>
      <c r="AS40" s="61" t="str">
        <f t="shared" si="46"/>
        <v>Normal</v>
      </c>
      <c r="AT40" s="57">
        <v>18389.7750000005</v>
      </c>
      <c r="AU40" s="57">
        <f>AC40*7</f>
        <v>18389.775000000529</v>
      </c>
      <c r="AV40" s="57">
        <f t="shared" si="47"/>
        <v>15032.732500000158</v>
      </c>
      <c r="AW40" s="57">
        <v>18389.7750000005</v>
      </c>
      <c r="AX40" s="57">
        <f>AI40*0.4+AC40*7*0.6</f>
        <v>16471.465000000317</v>
      </c>
      <c r="AY40" s="61">
        <f t="shared" si="48"/>
        <v>2298.7218750000625</v>
      </c>
      <c r="AZ40" s="61">
        <f>IFERROR(VLOOKUP(B40,[3]Sheet2!$E$4:$F$17,2,0),0)</f>
        <v>0</v>
      </c>
      <c r="BA40" s="61">
        <f t="shared" si="61"/>
        <v>2298.7218750000661</v>
      </c>
      <c r="BB40" s="61">
        <f t="shared" si="29"/>
        <v>1879.0915625000198</v>
      </c>
      <c r="BC40" s="61">
        <f t="shared" si="30"/>
        <v>2298.7218750000625</v>
      </c>
      <c r="BD40" s="61">
        <f t="shared" si="31"/>
        <v>2058.9331250000396</v>
      </c>
      <c r="BE40" s="61">
        <f t="shared" si="49"/>
        <v>383.12031250001041</v>
      </c>
      <c r="BF40" s="61">
        <f t="shared" si="50"/>
        <v>383.12031250001104</v>
      </c>
      <c r="BG40" s="61">
        <f t="shared" si="51"/>
        <v>313.18192708333663</v>
      </c>
      <c r="BH40" s="61">
        <f t="shared" si="52"/>
        <v>383.12031250001041</v>
      </c>
      <c r="BI40" s="61">
        <f t="shared" si="53"/>
        <v>343.15552083333995</v>
      </c>
      <c r="BJ40" s="61">
        <f t="shared" si="54"/>
        <v>1.915601562500052</v>
      </c>
      <c r="BK40" s="61">
        <f t="shared" si="55"/>
        <v>1.9156015625000551</v>
      </c>
      <c r="BL40" s="61">
        <f t="shared" si="56"/>
        <v>1.5659096354166833</v>
      </c>
      <c r="BM40" s="61">
        <f t="shared" si="57"/>
        <v>1.915601562500052</v>
      </c>
      <c r="BN40" s="61">
        <f t="shared" si="58"/>
        <v>1.7157776041666997</v>
      </c>
      <c r="BO40">
        <f t="shared" si="59"/>
        <v>305140.99464285932</v>
      </c>
      <c r="BP40" s="42">
        <f t="shared" si="60"/>
        <v>2058.9331250000396</v>
      </c>
      <c r="BQ40" s="42">
        <f>ROUNDUP(AK40,-1)-100</f>
        <v>0</v>
      </c>
      <c r="BR40" s="42">
        <f t="shared" si="34"/>
        <v>30</v>
      </c>
      <c r="BS40" s="42">
        <f>ROUNDUP(AM40,-1)</f>
        <v>200</v>
      </c>
      <c r="BT40">
        <f>VLOOKUP($B40,'[4]Food Monitor'!$A$4:$AD$95,16,0)</f>
        <v>70</v>
      </c>
      <c r="BU40">
        <f>VLOOKUP($B40,'[4]Food Monitor'!$A$4:$AD$95,27,0)</f>
        <v>100</v>
      </c>
    </row>
    <row r="41" spans="1:73" ht="16.5" hidden="1">
      <c r="A41" s="51" t="s">
        <v>105</v>
      </c>
      <c r="B41" s="51" t="s">
        <v>198</v>
      </c>
      <c r="C41" s="52" t="s">
        <v>199</v>
      </c>
      <c r="D41" s="51" t="s">
        <v>11</v>
      </c>
      <c r="E41" s="59" t="s">
        <v>11</v>
      </c>
      <c r="F41" s="59" t="s">
        <v>189</v>
      </c>
      <c r="G41" s="63">
        <v>209</v>
      </c>
      <c r="H41" s="61" t="s">
        <v>121</v>
      </c>
      <c r="I41" s="61" t="s">
        <v>166</v>
      </c>
      <c r="J41" s="70">
        <v>192166.85</v>
      </c>
      <c r="K41" s="70">
        <f>J41+21*AB41</f>
        <v>247202.87000000133</v>
      </c>
      <c r="L41" s="71">
        <f t="shared" si="35"/>
        <v>73.324776210196589</v>
      </c>
      <c r="M41" s="71">
        <v>900</v>
      </c>
      <c r="N41" s="71">
        <v>360</v>
      </c>
      <c r="O41" s="71">
        <v>1408</v>
      </c>
      <c r="P41" s="51">
        <f t="shared" si="36"/>
        <v>27</v>
      </c>
      <c r="Q41" s="73">
        <v>45191</v>
      </c>
      <c r="R41" s="73">
        <v>45218</v>
      </c>
      <c r="S41" s="70">
        <f>VLOOKUP(B41,[1]Sheet7!$H$2:$M$93,5,0)</f>
        <v>293114.93000000203</v>
      </c>
      <c r="T41" s="71">
        <f t="shared" si="37"/>
        <v>183.77111598746208</v>
      </c>
      <c r="U41" s="70">
        <f>VLOOKUP($B41,[1]Sheet7!$H$2:$M$93,4,0)</f>
        <v>210124.97000000053</v>
      </c>
      <c r="V41" s="70">
        <f>VLOOKUP($B41,[1]Sheet7!$H$2:$M$93,2,0)</f>
        <v>69034.839999999938</v>
      </c>
      <c r="W41" s="70">
        <f>VLOOKUP($B41,[1]Sheet7!$H$2:$M$93,3,0)</f>
        <v>14231.36</v>
      </c>
      <c r="X41" s="71">
        <f>VLOOKUP($B41,[1]Sheet8!$D$2:$E$93,2,0)</f>
        <v>1996</v>
      </c>
      <c r="Y41" s="71">
        <f>VLOOKUP($B41,[1]Sheet8!$P$3:$Q$94,2,0)</f>
        <v>2635</v>
      </c>
      <c r="Z41" s="71">
        <f>VLOOKUP($B41,[1]Sheet8!$J$3:$K$94,2,0)</f>
        <v>291</v>
      </c>
      <c r="AA41" s="71">
        <f>VLOOKUP($B41,[1]Sheet7!$H$2:$M$93,6,0)</f>
        <v>38636</v>
      </c>
      <c r="AB41" s="57">
        <v>2620.76285714292</v>
      </c>
      <c r="AC41" s="57">
        <v>2620.76285714292</v>
      </c>
      <c r="AD41" s="75">
        <v>0</v>
      </c>
      <c r="AE41" s="57">
        <f t="shared" si="38"/>
        <v>2882.8391428572122</v>
      </c>
      <c r="AF41" s="75">
        <v>1.1000000000000001</v>
      </c>
      <c r="AG41" s="77">
        <f>VLOOKUP($B41,[2]Sheet1!$E$2:$I$96,4,0)</f>
        <v>1595</v>
      </c>
      <c r="AH41" s="77">
        <f>VLOOKUP($B41,[2]Sheet1!$E$2:$I$96,5,0)</f>
        <v>226</v>
      </c>
      <c r="AI41" s="77">
        <f t="shared" si="39"/>
        <v>11165</v>
      </c>
      <c r="AJ41" s="61">
        <f t="shared" si="40"/>
        <v>1582</v>
      </c>
      <c r="AK41" s="61">
        <f>VLOOKUP(B41,[2]Sheet9!$D$2:$F$94,3,0)</f>
        <v>134</v>
      </c>
      <c r="AL41" s="61">
        <f>VLOOKUP(B41,[2]Sheet9!$J$3:$L$95,3,0)</f>
        <v>25</v>
      </c>
      <c r="AM41" s="61">
        <f>VLOOKUP(B41,[2]Sheet9!$P$3:$R$95,3,0)</f>
        <v>104</v>
      </c>
      <c r="AN41" s="70">
        <f t="shared" si="41"/>
        <v>9123.960000000603</v>
      </c>
      <c r="AO41" s="71">
        <f t="shared" si="42"/>
        <v>1140.4950000000754</v>
      </c>
      <c r="AP41" s="71">
        <f t="shared" si="43"/>
        <v>-579.14285714285711</v>
      </c>
      <c r="AQ41" s="71">
        <f t="shared" si="44"/>
        <v>165.42857142857144</v>
      </c>
      <c r="AR41" s="71">
        <f t="shared" si="45"/>
        <v>-825.85714285714289</v>
      </c>
      <c r="AS41" s="61" t="str">
        <f t="shared" si="46"/>
        <v>Normal</v>
      </c>
      <c r="AT41" s="57">
        <v>18345.340000000499</v>
      </c>
      <c r="AU41" s="57">
        <f>AC41*7</f>
        <v>18345.34000000044</v>
      </c>
      <c r="AV41" s="57">
        <f t="shared" si="47"/>
        <v>13319.10200000013</v>
      </c>
      <c r="AW41" s="57">
        <v>18345.340000000499</v>
      </c>
      <c r="AX41" s="57">
        <f>AI41*0.6+AC41*7*0.4</f>
        <v>14037.136000000177</v>
      </c>
      <c r="AY41" s="61">
        <f t="shared" si="48"/>
        <v>2293.1675000000623</v>
      </c>
      <c r="AZ41" s="61">
        <f>IFERROR(VLOOKUP(B41,[3]Sheet2!$E$4:$F$17,2,0),0)</f>
        <v>0</v>
      </c>
      <c r="BA41" s="61">
        <f t="shared" si="61"/>
        <v>2293.167500000055</v>
      </c>
      <c r="BB41" s="61">
        <f t="shared" si="29"/>
        <v>1664.8877500000162</v>
      </c>
      <c r="BC41" s="61">
        <f t="shared" si="30"/>
        <v>2293.1675000000623</v>
      </c>
      <c r="BD41" s="61">
        <f t="shared" si="31"/>
        <v>1754.6420000000221</v>
      </c>
      <c r="BE41" s="61">
        <f t="shared" si="49"/>
        <v>382.1945833333437</v>
      </c>
      <c r="BF41" s="61">
        <f t="shared" si="50"/>
        <v>382.19458333334251</v>
      </c>
      <c r="BG41" s="61">
        <f t="shared" si="51"/>
        <v>277.48129166666939</v>
      </c>
      <c r="BH41" s="61">
        <f t="shared" si="52"/>
        <v>382.1945833333437</v>
      </c>
      <c r="BI41" s="61">
        <f t="shared" si="53"/>
        <v>292.44033333333704</v>
      </c>
      <c r="BJ41" s="61">
        <f t="shared" si="54"/>
        <v>1.9109729166667186</v>
      </c>
      <c r="BK41" s="61">
        <f t="shared" si="55"/>
        <v>1.9109729166667124</v>
      </c>
      <c r="BL41" s="61">
        <f t="shared" si="56"/>
        <v>1.387406458333347</v>
      </c>
      <c r="BM41" s="61">
        <f t="shared" si="57"/>
        <v>1.9109729166667186</v>
      </c>
      <c r="BN41" s="61">
        <f t="shared" si="58"/>
        <v>1.4622016666666851</v>
      </c>
      <c r="BO41">
        <f t="shared" si="59"/>
        <v>273297.43657142995</v>
      </c>
      <c r="BP41" s="42">
        <f t="shared" si="60"/>
        <v>1754.6420000000221</v>
      </c>
      <c r="BQ41" s="42">
        <f>ROUNDUP(AK41,-1)-100</f>
        <v>40</v>
      </c>
      <c r="BR41" s="42">
        <f t="shared" si="34"/>
        <v>30</v>
      </c>
      <c r="BS41" s="42">
        <f>ROUNDUP(AM41,-1)-100</f>
        <v>10</v>
      </c>
      <c r="BT41">
        <f>VLOOKUP($B41,'[4]Food Monitor'!$A$4:$AD$95,16,0)</f>
        <v>100</v>
      </c>
      <c r="BU41">
        <f>VLOOKUP($B41,'[4]Food Monitor'!$A$4:$AD$95,27,0)</f>
        <v>60</v>
      </c>
    </row>
    <row r="42" spans="1:73" ht="16.5" hidden="1">
      <c r="A42" s="51" t="s">
        <v>105</v>
      </c>
      <c r="B42" s="51" t="s">
        <v>200</v>
      </c>
      <c r="C42" s="52" t="s">
        <v>201</v>
      </c>
      <c r="D42" s="51" t="s">
        <v>11</v>
      </c>
      <c r="E42" s="59" t="s">
        <v>11</v>
      </c>
      <c r="F42" s="59" t="s">
        <v>182</v>
      </c>
      <c r="G42" s="63">
        <v>423</v>
      </c>
      <c r="H42" s="61" t="s">
        <v>121</v>
      </c>
      <c r="I42" s="61" t="s">
        <v>113</v>
      </c>
      <c r="J42" s="70">
        <v>190681</v>
      </c>
      <c r="K42" s="70">
        <f>J42+21*AB42</f>
        <v>228961.1050000012</v>
      </c>
      <c r="L42" s="71">
        <f t="shared" si="35"/>
        <v>104.60527733661844</v>
      </c>
      <c r="M42" s="71">
        <v>630</v>
      </c>
      <c r="N42" s="71">
        <v>360</v>
      </c>
      <c r="O42" s="71">
        <v>1408</v>
      </c>
      <c r="P42" s="51">
        <f t="shared" si="36"/>
        <v>27</v>
      </c>
      <c r="Q42" s="73">
        <v>45191</v>
      </c>
      <c r="R42" s="73">
        <v>45218</v>
      </c>
      <c r="S42" s="70">
        <f>VLOOKUP(B42,[1]Sheet7!$H$2:$M$93,5,0)</f>
        <v>402950.47000000288</v>
      </c>
      <c r="T42" s="71">
        <f t="shared" si="37"/>
        <v>256.81992989165258</v>
      </c>
      <c r="U42" s="70">
        <f>VLOOKUP($B42,[1]Sheet7!$H$2:$M$93,4,0)</f>
        <v>378293.63000000262</v>
      </c>
      <c r="V42" s="70">
        <f>VLOOKUP($B42,[1]Sheet7!$H$2:$M$93,2,0)</f>
        <v>25376.969999999983</v>
      </c>
      <c r="W42" s="70">
        <f>VLOOKUP($B42,[1]Sheet7!$H$2:$M$93,3,0)</f>
        <v>0</v>
      </c>
      <c r="X42" s="71">
        <f>VLOOKUP($B42,[1]Sheet8!$D$2:$E$93,2,0)</f>
        <v>2239</v>
      </c>
      <c r="Y42" s="71">
        <f>VLOOKUP($B42,[1]Sheet8!$P$3:$Q$94,2,0)</f>
        <v>2481</v>
      </c>
      <c r="Z42" s="71">
        <f>VLOOKUP($B42,[1]Sheet8!$J$3:$K$94,2,0)</f>
        <v>621</v>
      </c>
      <c r="AA42" s="71">
        <f>VLOOKUP($B42,[1]Sheet7!$H$2:$M$93,6,0)</f>
        <v>55178</v>
      </c>
      <c r="AB42" s="57">
        <v>1822.8621428572001</v>
      </c>
      <c r="AC42" s="57">
        <v>1822.8621428572001</v>
      </c>
      <c r="AD42" s="75">
        <v>0</v>
      </c>
      <c r="AE42" s="57">
        <f t="shared" si="38"/>
        <v>2005.1483571429203</v>
      </c>
      <c r="AF42" s="75">
        <v>1.1000000000000001</v>
      </c>
      <c r="AG42" s="77">
        <f>VLOOKUP($B42,[2]Sheet1!$E$2:$I$96,4,0)</f>
        <v>1569</v>
      </c>
      <c r="AH42" s="77">
        <f>VLOOKUP($B42,[2]Sheet1!$E$2:$I$96,5,0)</f>
        <v>238</v>
      </c>
      <c r="AI42" s="77">
        <f t="shared" si="39"/>
        <v>10983</v>
      </c>
      <c r="AJ42" s="61">
        <f t="shared" si="40"/>
        <v>1666</v>
      </c>
      <c r="AK42" s="61">
        <f>VLOOKUP(B42,[2]Sheet9!$D$2:$F$94,3,0)</f>
        <v>71</v>
      </c>
      <c r="AL42" s="61">
        <f>VLOOKUP(B42,[2]Sheet9!$J$3:$L$95,3,0)</f>
        <v>27</v>
      </c>
      <c r="AM42" s="61">
        <f>VLOOKUP(B42,[2]Sheet9!$P$3:$R$95,3,0)</f>
        <v>101</v>
      </c>
      <c r="AN42" s="70">
        <f t="shared" si="41"/>
        <v>-135709.26000000047</v>
      </c>
      <c r="AO42" s="71">
        <f t="shared" si="42"/>
        <v>0</v>
      </c>
      <c r="AP42" s="71">
        <f t="shared" si="43"/>
        <v>-1335.1428571428571</v>
      </c>
      <c r="AQ42" s="71">
        <f t="shared" si="44"/>
        <v>-156.85714285714289</v>
      </c>
      <c r="AR42" s="71">
        <f t="shared" si="45"/>
        <v>-683.42857142857156</v>
      </c>
      <c r="AS42" s="61" t="str">
        <f t="shared" si="46"/>
        <v>Full of Stock Risk</v>
      </c>
      <c r="AT42" s="57">
        <v>70000</v>
      </c>
      <c r="AU42" s="57">
        <f>AG42*7</f>
        <v>10983</v>
      </c>
      <c r="AV42" s="57">
        <f t="shared" si="47"/>
        <v>11516.110500000119</v>
      </c>
      <c r="AW42" s="57">
        <v>20000</v>
      </c>
      <c r="AX42" s="57">
        <f>AI42*1.3</f>
        <v>14277.9</v>
      </c>
      <c r="AY42" s="61">
        <f t="shared" si="48"/>
        <v>8750</v>
      </c>
      <c r="AZ42" s="61">
        <f>IFERROR(VLOOKUP(B42,[3]Sheet2!$E$4:$F$17,2,0),0)</f>
        <v>0</v>
      </c>
      <c r="BA42" s="61">
        <f t="shared" si="61"/>
        <v>1372.875</v>
      </c>
      <c r="BB42" s="61">
        <f t="shared" si="29"/>
        <v>1439.5138125000149</v>
      </c>
      <c r="BC42" s="61">
        <f t="shared" si="30"/>
        <v>2500</v>
      </c>
      <c r="BD42" s="61">
        <f t="shared" si="31"/>
        <v>1784.7375</v>
      </c>
      <c r="BE42" s="61">
        <f t="shared" si="49"/>
        <v>1458.3333333333333</v>
      </c>
      <c r="BF42" s="61">
        <f t="shared" si="50"/>
        <v>228.8125</v>
      </c>
      <c r="BG42" s="61">
        <f t="shared" si="51"/>
        <v>239.91896875000248</v>
      </c>
      <c r="BH42" s="61">
        <f t="shared" si="52"/>
        <v>416.66666666666669</v>
      </c>
      <c r="BI42" s="61">
        <f t="shared" si="53"/>
        <v>297.45625000000001</v>
      </c>
      <c r="BJ42" s="61">
        <f t="shared" si="54"/>
        <v>7.291666666666667</v>
      </c>
      <c r="BK42" s="61">
        <f t="shared" si="55"/>
        <v>1.1440625</v>
      </c>
      <c r="BL42" s="61">
        <f t="shared" si="56"/>
        <v>1.1995948437500124</v>
      </c>
      <c r="BM42" s="61">
        <f t="shared" si="57"/>
        <v>2.0833333333333335</v>
      </c>
      <c r="BN42" s="61">
        <f t="shared" si="58"/>
        <v>1.4872812499999999</v>
      </c>
      <c r="BO42">
        <f t="shared" si="59"/>
        <v>458635.85692857218</v>
      </c>
      <c r="BP42" s="42">
        <f t="shared" si="60"/>
        <v>1784.7375</v>
      </c>
      <c r="BQ42" s="42">
        <v>0</v>
      </c>
      <c r="BR42" s="42">
        <v>0</v>
      </c>
      <c r="BS42" s="42">
        <f>ROUNDUP(AM42,-1)-50</f>
        <v>60</v>
      </c>
      <c r="BT42">
        <f>VLOOKUP($B42,'[4]Food Monitor'!$A$4:$AD$95,16,0)</f>
        <v>140</v>
      </c>
      <c r="BU42">
        <f>VLOOKUP($B42,'[4]Food Monitor'!$A$4:$AD$95,27,0)</f>
        <v>80</v>
      </c>
    </row>
    <row r="43" spans="1:73" ht="16.5" hidden="1">
      <c r="A43" s="51" t="s">
        <v>105</v>
      </c>
      <c r="B43" s="51" t="s">
        <v>202</v>
      </c>
      <c r="C43" s="52" t="s">
        <v>203</v>
      </c>
      <c r="D43" s="51" t="s">
        <v>20</v>
      </c>
      <c r="E43" s="59" t="s">
        <v>20</v>
      </c>
      <c r="F43" s="59" t="s">
        <v>108</v>
      </c>
      <c r="G43" s="63">
        <v>270</v>
      </c>
      <c r="H43" s="61" t="s">
        <v>109</v>
      </c>
      <c r="I43" s="61" t="s">
        <v>113</v>
      </c>
      <c r="J43" s="70">
        <v>219737.89</v>
      </c>
      <c r="K43" s="70">
        <f>J43+14*AB43</f>
        <v>286250.47999999981</v>
      </c>
      <c r="L43" s="71">
        <f t="shared" si="35"/>
        <v>46.251851867443598</v>
      </c>
      <c r="M43" s="71">
        <v>1710</v>
      </c>
      <c r="N43" s="71">
        <v>270</v>
      </c>
      <c r="O43" s="71">
        <v>2112</v>
      </c>
      <c r="P43" s="51">
        <f t="shared" si="36"/>
        <v>20</v>
      </c>
      <c r="Q43" s="73">
        <v>45191</v>
      </c>
      <c r="R43" s="73">
        <v>45211</v>
      </c>
      <c r="S43" s="70">
        <f>VLOOKUP(B43,[1]Sheet7!$H$2:$M$93,5,0)</f>
        <v>337364.14999999956</v>
      </c>
      <c r="T43" s="71">
        <f t="shared" si="37"/>
        <v>91.179499999999877</v>
      </c>
      <c r="U43" s="70">
        <f>VLOOKUP($B43,[1]Sheet7!$H$2:$M$93,4,0)</f>
        <v>311071.93999999919</v>
      </c>
      <c r="V43" s="70">
        <f>VLOOKUP($B43,[1]Sheet7!$H$2:$M$93,2,0)</f>
        <v>26321.159999999993</v>
      </c>
      <c r="W43" s="70">
        <f>VLOOKUP($B43,[1]Sheet7!$H$2:$M$93,3,0)</f>
        <v>0</v>
      </c>
      <c r="X43" s="71">
        <f>VLOOKUP($B43,[1]Sheet8!$D$2:$E$93,2,0)</f>
        <v>1812</v>
      </c>
      <c r="Y43" s="71">
        <f>VLOOKUP($B43,[1]Sheet8!$P$3:$Q$94,2,0)</f>
        <v>3661</v>
      </c>
      <c r="Z43" s="71">
        <f>VLOOKUP($B43,[1]Sheet8!$J$3:$K$94,2,0)</f>
        <v>534</v>
      </c>
      <c r="AA43" s="71">
        <f>VLOOKUP($B43,[1]Sheet7!$H$2:$M$93,6,0)</f>
        <v>41878</v>
      </c>
      <c r="AB43" s="57">
        <v>4750.8992857142703</v>
      </c>
      <c r="AC43" s="57">
        <v>4750.8992857142703</v>
      </c>
      <c r="AD43" s="75">
        <v>0</v>
      </c>
      <c r="AE43" s="57">
        <f t="shared" si="38"/>
        <v>5225.9892142856979</v>
      </c>
      <c r="AF43" s="75">
        <v>1.1000000000000001</v>
      </c>
      <c r="AG43" s="77">
        <f>VLOOKUP($B43,[2]Sheet1!$E$2:$I$96,4,0)</f>
        <v>3700</v>
      </c>
      <c r="AH43" s="77">
        <f>VLOOKUP($B43,[2]Sheet1!$E$2:$I$96,5,0)</f>
        <v>540</v>
      </c>
      <c r="AI43" s="77">
        <f t="shared" si="39"/>
        <v>25900</v>
      </c>
      <c r="AJ43" s="61">
        <f t="shared" si="40"/>
        <v>3780</v>
      </c>
      <c r="AK43" s="61">
        <f>VLOOKUP(B43,[2]Sheet9!$D$2:$F$94,3,0)</f>
        <v>179</v>
      </c>
      <c r="AL43" s="61">
        <f>VLOOKUP(B43,[2]Sheet9!$J$3:$L$95,3,0)</f>
        <v>91</v>
      </c>
      <c r="AM43" s="61">
        <f>VLOOKUP(B43,[2]Sheet9!$P$3:$R$95,3,0)</f>
        <v>316</v>
      </c>
      <c r="AN43" s="70">
        <f t="shared" si="41"/>
        <v>81911.509999999776</v>
      </c>
      <c r="AO43" s="71">
        <f t="shared" si="42"/>
        <v>10238.938749999972</v>
      </c>
      <c r="AP43" s="71">
        <f t="shared" si="43"/>
        <v>409.42857142857156</v>
      </c>
      <c r="AQ43" s="71">
        <f t="shared" si="44"/>
        <v>-4</v>
      </c>
      <c r="AR43" s="71">
        <f t="shared" si="45"/>
        <v>-646.14285714285688</v>
      </c>
      <c r="AS43" s="61" t="str">
        <f t="shared" si="46"/>
        <v>Out of Stock Risk</v>
      </c>
      <c r="AT43" s="57">
        <v>33256.294999999896</v>
      </c>
      <c r="AU43" s="57">
        <f t="shared" ref="AU43:AU49" si="62">AC43*7</f>
        <v>33256.294999999889</v>
      </c>
      <c r="AV43" s="57">
        <f t="shared" si="47"/>
        <v>28106.888499999965</v>
      </c>
      <c r="AW43" s="57">
        <v>33256.294999999896</v>
      </c>
      <c r="AX43" s="57">
        <f t="shared" ref="AX43:AX48" si="63">AI43*0.4+AC43*7*0.6</f>
        <v>30313.776999999933</v>
      </c>
      <c r="AY43" s="61">
        <f t="shared" si="48"/>
        <v>4157.036874999987</v>
      </c>
      <c r="AZ43" s="61">
        <f>IFERROR(VLOOKUP(B43,[3]Sheet2!$E$4:$F$17,2,0),0)</f>
        <v>0</v>
      </c>
      <c r="BA43" s="61">
        <f t="shared" si="61"/>
        <v>4157.0368749999861</v>
      </c>
      <c r="BB43" s="61">
        <f t="shared" si="29"/>
        <v>3513.3610624999956</v>
      </c>
      <c r="BC43" s="61">
        <f t="shared" si="30"/>
        <v>4157.036874999987</v>
      </c>
      <c r="BD43" s="61">
        <f t="shared" si="31"/>
        <v>3789.2221249999916</v>
      </c>
      <c r="BE43" s="61">
        <f t="shared" si="49"/>
        <v>692.83947916666455</v>
      </c>
      <c r="BF43" s="61">
        <f t="shared" si="50"/>
        <v>692.83947916666432</v>
      </c>
      <c r="BG43" s="61">
        <f t="shared" si="51"/>
        <v>585.56017708333263</v>
      </c>
      <c r="BH43" s="61">
        <f t="shared" si="52"/>
        <v>692.83947916666455</v>
      </c>
      <c r="BI43" s="61">
        <f t="shared" si="53"/>
        <v>631.53702083333189</v>
      </c>
      <c r="BJ43" s="61">
        <f t="shared" si="54"/>
        <v>3.4641973958333225</v>
      </c>
      <c r="BK43" s="61">
        <f t="shared" si="55"/>
        <v>3.4641973958333216</v>
      </c>
      <c r="BL43" s="61">
        <f t="shared" si="56"/>
        <v>2.9278008854166631</v>
      </c>
      <c r="BM43" s="61">
        <f t="shared" si="57"/>
        <v>3.4641973958333225</v>
      </c>
      <c r="BN43" s="61">
        <f t="shared" si="58"/>
        <v>3.1576851041666596</v>
      </c>
      <c r="BO43">
        <f t="shared" si="59"/>
        <v>310268.62835714262</v>
      </c>
      <c r="BP43" s="42">
        <f t="shared" si="60"/>
        <v>3789.2221249999916</v>
      </c>
      <c r="BQ43" s="42">
        <f>ROUNDUP(AK43,-1)</f>
        <v>180</v>
      </c>
      <c r="BR43" s="42">
        <f>ROUNDUP(AL43,-1)-20</f>
        <v>80</v>
      </c>
      <c r="BS43" s="42">
        <f>ROUNDUP(AM43,-1)-50</f>
        <v>270</v>
      </c>
      <c r="BT43">
        <f>VLOOKUP($B43,'[4]Food Monitor'!$A$4:$AD$95,16,0)</f>
        <v>400</v>
      </c>
      <c r="BU43">
        <f>VLOOKUP($B43,'[4]Food Monitor'!$A$4:$AD$95,27,0)</f>
        <v>120</v>
      </c>
    </row>
    <row r="44" spans="1:73" ht="16.5" hidden="1">
      <c r="A44" s="51" t="s">
        <v>105</v>
      </c>
      <c r="B44" s="51" t="s">
        <v>204</v>
      </c>
      <c r="C44" s="52" t="s">
        <v>205</v>
      </c>
      <c r="D44" s="51" t="s">
        <v>11</v>
      </c>
      <c r="E44" s="59" t="s">
        <v>11</v>
      </c>
      <c r="F44" s="59" t="s">
        <v>206</v>
      </c>
      <c r="G44" s="63">
        <v>278</v>
      </c>
      <c r="H44" s="61" t="s">
        <v>121</v>
      </c>
      <c r="I44" s="61" t="s">
        <v>113</v>
      </c>
      <c r="J44" s="70">
        <v>191217.22</v>
      </c>
      <c r="K44" s="70">
        <f t="shared" ref="K44:K52" si="64">J44+21*AB44</f>
        <v>243088.28500000181</v>
      </c>
      <c r="L44" s="71">
        <f t="shared" si="35"/>
        <v>77.414289064623233</v>
      </c>
      <c r="M44" s="71">
        <v>1080</v>
      </c>
      <c r="N44" s="71">
        <v>270</v>
      </c>
      <c r="O44" s="71">
        <v>1408</v>
      </c>
      <c r="P44" s="51">
        <f t="shared" si="36"/>
        <v>27</v>
      </c>
      <c r="Q44" s="73">
        <v>45191</v>
      </c>
      <c r="R44" s="73">
        <v>45218</v>
      </c>
      <c r="S44" s="70">
        <f>VLOOKUP(B44,[1]Sheet7!$H$2:$M$93,5,0)</f>
        <v>295859.8800000014</v>
      </c>
      <c r="T44" s="71">
        <f t="shared" si="37"/>
        <v>178.22884337349481</v>
      </c>
      <c r="U44" s="70">
        <f>VLOOKUP($B44,[1]Sheet7!$H$2:$M$93,4,0)</f>
        <v>247558.65000000046</v>
      </c>
      <c r="V44" s="70">
        <f>VLOOKUP($B44,[1]Sheet7!$H$2:$M$93,2,0)</f>
        <v>48713.249999999949</v>
      </c>
      <c r="W44" s="70">
        <f>VLOOKUP($B44,[1]Sheet7!$H$2:$M$93,3,0)</f>
        <v>0</v>
      </c>
      <c r="X44" s="71">
        <f>VLOOKUP($B44,[1]Sheet8!$D$2:$E$93,2,0)</f>
        <v>1527</v>
      </c>
      <c r="Y44" s="71">
        <f>VLOOKUP($B44,[1]Sheet8!$P$3:$Q$94,2,0)</f>
        <v>2933</v>
      </c>
      <c r="Z44" s="71">
        <f>VLOOKUP($B44,[1]Sheet8!$J$3:$K$94,2,0)</f>
        <v>380</v>
      </c>
      <c r="AA44" s="71">
        <f>VLOOKUP($B44,[1]Sheet7!$H$2:$M$93,6,0)</f>
        <v>39209</v>
      </c>
      <c r="AB44" s="57">
        <v>2470.0507142858</v>
      </c>
      <c r="AC44" s="57">
        <v>2470.0507142858</v>
      </c>
      <c r="AD44" s="75">
        <v>0</v>
      </c>
      <c r="AE44" s="57">
        <f t="shared" si="38"/>
        <v>2717.0557857143804</v>
      </c>
      <c r="AF44" s="75">
        <v>1.1000000000000001</v>
      </c>
      <c r="AG44" s="77">
        <f>VLOOKUP($B44,[2]Sheet1!$E$2:$I$96,4,0)</f>
        <v>1660</v>
      </c>
      <c r="AH44" s="77">
        <f>VLOOKUP($B44,[2]Sheet1!$E$2:$I$96,5,0)</f>
        <v>235</v>
      </c>
      <c r="AI44" s="77">
        <f t="shared" si="39"/>
        <v>11620</v>
      </c>
      <c r="AJ44" s="61">
        <f t="shared" si="40"/>
        <v>1645</v>
      </c>
      <c r="AK44" s="61">
        <f>VLOOKUP(B44,[2]Sheet9!$D$2:$F$94,3,0)</f>
        <v>121</v>
      </c>
      <c r="AL44" s="61">
        <f>VLOOKUP(B44,[2]Sheet9!$J$3:$L$95,3,0)</f>
        <v>41</v>
      </c>
      <c r="AM44" s="61">
        <f>VLOOKUP(B44,[2]Sheet9!$P$3:$R$95,3,0)</f>
        <v>118</v>
      </c>
      <c r="AN44" s="70">
        <f t="shared" si="41"/>
        <v>-900.52999999775784</v>
      </c>
      <c r="AO44" s="71">
        <f t="shared" si="42"/>
        <v>0</v>
      </c>
      <c r="AP44" s="71">
        <f t="shared" si="43"/>
        <v>19.714285714285779</v>
      </c>
      <c r="AQ44" s="71">
        <f t="shared" si="44"/>
        <v>48.14285714285711</v>
      </c>
      <c r="AR44" s="71">
        <f t="shared" si="45"/>
        <v>-1069.8571428571429</v>
      </c>
      <c r="AS44" s="61" t="str">
        <f t="shared" si="46"/>
        <v>Normal</v>
      </c>
      <c r="AT44" s="57">
        <v>17290.3550000006</v>
      </c>
      <c r="AU44" s="57">
        <f t="shared" si="62"/>
        <v>17290.3550000006</v>
      </c>
      <c r="AV44" s="57">
        <f t="shared" si="47"/>
        <v>13321.10650000018</v>
      </c>
      <c r="AW44" s="57">
        <v>17290.3550000006</v>
      </c>
      <c r="AX44" s="57">
        <f t="shared" si="63"/>
        <v>15022.21300000036</v>
      </c>
      <c r="AY44" s="61">
        <f t="shared" si="48"/>
        <v>2161.294375000075</v>
      </c>
      <c r="AZ44" s="61">
        <f>IFERROR(VLOOKUP(B44,[3]Sheet2!$E$4:$F$17,2,0),0)</f>
        <v>0</v>
      </c>
      <c r="BA44" s="61">
        <f t="shared" si="61"/>
        <v>2161.294375000075</v>
      </c>
      <c r="BB44" s="61">
        <f t="shared" si="29"/>
        <v>1665.1383125000225</v>
      </c>
      <c r="BC44" s="61">
        <f t="shared" si="30"/>
        <v>2161.294375000075</v>
      </c>
      <c r="BD44" s="61">
        <f t="shared" si="31"/>
        <v>1877.776625000045</v>
      </c>
      <c r="BE44" s="61">
        <f t="shared" si="49"/>
        <v>360.21572916667918</v>
      </c>
      <c r="BF44" s="61">
        <f t="shared" si="50"/>
        <v>360.21572916667918</v>
      </c>
      <c r="BG44" s="61">
        <f t="shared" si="51"/>
        <v>277.52305208333706</v>
      </c>
      <c r="BH44" s="61">
        <f t="shared" si="52"/>
        <v>360.21572916667918</v>
      </c>
      <c r="BI44" s="61">
        <f t="shared" si="53"/>
        <v>312.96277083334081</v>
      </c>
      <c r="BJ44" s="61">
        <f t="shared" si="54"/>
        <v>1.8010786458333958</v>
      </c>
      <c r="BK44" s="61">
        <f t="shared" si="55"/>
        <v>1.8010786458333958</v>
      </c>
      <c r="BL44" s="61">
        <f t="shared" si="56"/>
        <v>1.3876152604166854</v>
      </c>
      <c r="BM44" s="61">
        <f t="shared" si="57"/>
        <v>1.8010786458333958</v>
      </c>
      <c r="BN44" s="61">
        <f t="shared" si="58"/>
        <v>1.5648138541667043</v>
      </c>
      <c r="BO44">
        <f t="shared" si="59"/>
        <v>279742.28664285759</v>
      </c>
      <c r="BP44" s="42">
        <f t="shared" si="60"/>
        <v>1877.776625000045</v>
      </c>
      <c r="BQ44" s="42">
        <f>ROUNDUP(AK44,-1)-50</f>
        <v>80</v>
      </c>
      <c r="BR44" s="42">
        <f>ROUNDUP(AL44,-1)</f>
        <v>50</v>
      </c>
      <c r="BS44" s="42">
        <f>ROUNDUP(AM44,-1)-100</f>
        <v>20</v>
      </c>
      <c r="BT44">
        <f>VLOOKUP($B44,'[4]Food Monitor'!$A$4:$AD$95,16,0)</f>
        <v>200</v>
      </c>
      <c r="BU44">
        <f>VLOOKUP($B44,'[4]Food Monitor'!$A$4:$AD$95,27,0)</f>
        <v>60</v>
      </c>
    </row>
    <row r="45" spans="1:73" ht="16.5" hidden="1">
      <c r="A45" s="51" t="s">
        <v>105</v>
      </c>
      <c r="B45" s="51" t="s">
        <v>207</v>
      </c>
      <c r="C45" s="52" t="s">
        <v>208</v>
      </c>
      <c r="D45" s="51" t="s">
        <v>11</v>
      </c>
      <c r="E45" s="59" t="s">
        <v>11</v>
      </c>
      <c r="F45" s="59" t="s">
        <v>197</v>
      </c>
      <c r="G45" s="63">
        <v>378</v>
      </c>
      <c r="H45" s="61" t="s">
        <v>109</v>
      </c>
      <c r="I45" s="61" t="s">
        <v>166</v>
      </c>
      <c r="J45" s="70">
        <v>223948.46</v>
      </c>
      <c r="K45" s="70">
        <f t="shared" si="64"/>
        <v>289647.71000000078</v>
      </c>
      <c r="L45" s="71">
        <f t="shared" si="35"/>
        <v>71.582516695395242</v>
      </c>
      <c r="M45" s="71">
        <v>1260</v>
      </c>
      <c r="N45" s="71">
        <v>630</v>
      </c>
      <c r="O45" s="71">
        <v>2112</v>
      </c>
      <c r="P45" s="51">
        <f t="shared" si="36"/>
        <v>27</v>
      </c>
      <c r="Q45" s="73">
        <v>45191</v>
      </c>
      <c r="R45" s="73">
        <v>45218</v>
      </c>
      <c r="S45" s="70">
        <f>VLOOKUP(B45,[1]Sheet7!$H$2:$M$93,5,0)</f>
        <v>360484.45000000147</v>
      </c>
      <c r="T45" s="71">
        <f t="shared" si="37"/>
        <v>138.43488863287305</v>
      </c>
      <c r="U45" s="70">
        <f>VLOOKUP($B45,[1]Sheet7!$H$2:$M$93,4,0)</f>
        <v>212862.46999999988</v>
      </c>
      <c r="V45" s="70">
        <f>VLOOKUP($B45,[1]Sheet7!$H$2:$M$93,2,0)</f>
        <v>147890.54999999984</v>
      </c>
      <c r="W45" s="70">
        <f>VLOOKUP($B45,[1]Sheet7!$H$2:$M$93,3,0)</f>
        <v>0</v>
      </c>
      <c r="X45" s="71">
        <f>VLOOKUP($B45,[1]Sheet8!$D$2:$E$93,2,0)</f>
        <v>2098</v>
      </c>
      <c r="Y45" s="71">
        <f>VLOOKUP($B45,[1]Sheet8!$P$3:$Q$94,2,0)</f>
        <v>3427</v>
      </c>
      <c r="Z45" s="71">
        <f>VLOOKUP($B45,[1]Sheet8!$J$3:$K$94,2,0)</f>
        <v>388</v>
      </c>
      <c r="AA45" s="71">
        <f>VLOOKUP($B45,[1]Sheet7!$H$2:$M$93,6,0)</f>
        <v>47287</v>
      </c>
      <c r="AB45" s="57">
        <v>3128.5357142857501</v>
      </c>
      <c r="AC45" s="57">
        <v>3128.5357142857501</v>
      </c>
      <c r="AD45" s="75">
        <v>0</v>
      </c>
      <c r="AE45" s="57">
        <f t="shared" si="38"/>
        <v>3441.3892857143255</v>
      </c>
      <c r="AF45" s="75">
        <v>1.1000000000000001</v>
      </c>
      <c r="AG45" s="77">
        <f>VLOOKUP($B45,[2]Sheet1!$E$2:$I$96,4,0)</f>
        <v>2604</v>
      </c>
      <c r="AH45" s="77">
        <f>VLOOKUP($B45,[2]Sheet1!$E$2:$I$96,5,0)</f>
        <v>359</v>
      </c>
      <c r="AI45" s="77">
        <f t="shared" si="39"/>
        <v>18228</v>
      </c>
      <c r="AJ45" s="61">
        <f t="shared" si="40"/>
        <v>2513</v>
      </c>
      <c r="AK45" s="61">
        <f>VLOOKUP(B45,[2]Sheet9!$D$2:$F$94,3,0)</f>
        <v>148</v>
      </c>
      <c r="AL45" s="61">
        <f>VLOOKUP(B45,[2]Sheet9!$J$3:$L$95,3,0)</f>
        <v>27</v>
      </c>
      <c r="AM45" s="61">
        <f>VLOOKUP(B45,[2]Sheet9!$P$3:$R$95,3,0)</f>
        <v>210</v>
      </c>
      <c r="AN45" s="70">
        <f t="shared" si="41"/>
        <v>-5137.4899999999907</v>
      </c>
      <c r="AO45" s="71">
        <f t="shared" si="42"/>
        <v>0</v>
      </c>
      <c r="AP45" s="71">
        <f t="shared" si="43"/>
        <v>-267.14285714285711</v>
      </c>
      <c r="AQ45" s="71">
        <f t="shared" si="44"/>
        <v>346.14285714285711</v>
      </c>
      <c r="AR45" s="71">
        <f t="shared" si="45"/>
        <v>-505</v>
      </c>
      <c r="AS45" s="61" t="str">
        <f t="shared" si="46"/>
        <v>Normal</v>
      </c>
      <c r="AT45" s="57">
        <v>21899.750000000298</v>
      </c>
      <c r="AU45" s="57">
        <f t="shared" si="62"/>
        <v>21899.750000000251</v>
      </c>
      <c r="AV45" s="57">
        <f t="shared" si="47"/>
        <v>19329.525000000074</v>
      </c>
      <c r="AW45" s="57">
        <v>21899.750000000298</v>
      </c>
      <c r="AX45" s="57">
        <f t="shared" si="63"/>
        <v>20431.050000000148</v>
      </c>
      <c r="AY45" s="61">
        <f t="shared" si="48"/>
        <v>2737.4687500000373</v>
      </c>
      <c r="AZ45" s="61">
        <f>IFERROR(VLOOKUP(B45,[3]Sheet2!$E$4:$F$17,2,0),0)</f>
        <v>0</v>
      </c>
      <c r="BA45" s="61">
        <f t="shared" si="61"/>
        <v>2737.4687500000314</v>
      </c>
      <c r="BB45" s="61">
        <f t="shared" ref="BB45:BB69" si="65">AV45/8</f>
        <v>2416.1906250000093</v>
      </c>
      <c r="BC45" s="61">
        <v>6550</v>
      </c>
      <c r="BD45" s="61">
        <f t="shared" ref="BD45:BD76" si="66">AX45/8</f>
        <v>2553.8812500000186</v>
      </c>
      <c r="BE45" s="61">
        <f t="shared" si="49"/>
        <v>456.24479166667288</v>
      </c>
      <c r="BF45" s="61">
        <f t="shared" si="50"/>
        <v>456.24479166667192</v>
      </c>
      <c r="BG45" s="61">
        <f t="shared" si="51"/>
        <v>402.69843750000155</v>
      </c>
      <c r="BH45" s="61">
        <f t="shared" si="52"/>
        <v>1091.6666666666667</v>
      </c>
      <c r="BI45" s="61">
        <f t="shared" si="53"/>
        <v>425.64687500000309</v>
      </c>
      <c r="BJ45" s="61">
        <f t="shared" si="54"/>
        <v>2.2812239583333644</v>
      </c>
      <c r="BK45" s="61">
        <f t="shared" si="55"/>
        <v>2.2812239583333596</v>
      </c>
      <c r="BL45" s="61">
        <f t="shared" si="56"/>
        <v>2.0134921875000078</v>
      </c>
      <c r="BM45" s="61">
        <f t="shared" si="57"/>
        <v>5.458333333333333</v>
      </c>
      <c r="BN45" s="61">
        <f t="shared" si="58"/>
        <v>2.1282343750000154</v>
      </c>
      <c r="BO45">
        <f t="shared" si="59"/>
        <v>343931.38214285823</v>
      </c>
      <c r="BP45" s="42">
        <f t="shared" si="60"/>
        <v>2553.8812500000186</v>
      </c>
      <c r="BQ45" s="42">
        <f>ROUNDUP(AK45,-1)-100</f>
        <v>50</v>
      </c>
      <c r="BR45" s="42">
        <f>ROUNDUP(AL45,-1)</f>
        <v>30</v>
      </c>
      <c r="BS45" s="42">
        <f>ROUNDUP(AM45,-1)-50</f>
        <v>160</v>
      </c>
      <c r="BT45">
        <f>VLOOKUP($B45,'[4]Food Monitor'!$A$4:$AD$95,16,0)</f>
        <v>240</v>
      </c>
      <c r="BU45">
        <f>VLOOKUP($B45,'[4]Food Monitor'!$A$4:$AD$95,27,0)</f>
        <v>120</v>
      </c>
    </row>
    <row r="46" spans="1:73" ht="16.5" hidden="1">
      <c r="A46" s="51" t="s">
        <v>105</v>
      </c>
      <c r="B46" s="51" t="s">
        <v>209</v>
      </c>
      <c r="C46" s="52" t="s">
        <v>210</v>
      </c>
      <c r="D46" s="51" t="s">
        <v>11</v>
      </c>
      <c r="E46" s="59" t="s">
        <v>11</v>
      </c>
      <c r="F46" s="59" t="s">
        <v>177</v>
      </c>
      <c r="G46" s="63">
        <v>259</v>
      </c>
      <c r="H46" s="61" t="s">
        <v>121</v>
      </c>
      <c r="I46" s="61" t="s">
        <v>166</v>
      </c>
      <c r="J46" s="70">
        <v>206154.37</v>
      </c>
      <c r="K46" s="70">
        <f t="shared" si="64"/>
        <v>257977.66000000158</v>
      </c>
      <c r="L46" s="71">
        <f t="shared" si="35"/>
        <v>83.53853585906775</v>
      </c>
      <c r="M46" s="71">
        <v>900</v>
      </c>
      <c r="N46" s="71">
        <v>450</v>
      </c>
      <c r="O46" s="71">
        <v>1408</v>
      </c>
      <c r="P46" s="51">
        <f t="shared" si="36"/>
        <v>27</v>
      </c>
      <c r="Q46" s="73">
        <v>45191</v>
      </c>
      <c r="R46" s="73">
        <v>45218</v>
      </c>
      <c r="S46" s="70">
        <f>VLOOKUP(B46,[1]Sheet7!$H$2:$M$93,5,0)</f>
        <v>341994.13000000181</v>
      </c>
      <c r="T46" s="71">
        <f t="shared" si="37"/>
        <v>184.96167117360832</v>
      </c>
      <c r="U46" s="70">
        <f>VLOOKUP($B46,[1]Sheet7!$H$2:$M$93,4,0)</f>
        <v>259490.69000000143</v>
      </c>
      <c r="V46" s="70">
        <f>VLOOKUP($B46,[1]Sheet7!$H$2:$M$93,2,0)</f>
        <v>66351.909999999916</v>
      </c>
      <c r="W46" s="70">
        <f>VLOOKUP($B46,[1]Sheet7!$H$2:$M$93,3,0)</f>
        <v>16622.049999999996</v>
      </c>
      <c r="X46" s="71">
        <f>VLOOKUP($B46,[1]Sheet8!$D$2:$E$93,2,0)</f>
        <v>1986</v>
      </c>
      <c r="Y46" s="71">
        <f>VLOOKUP($B46,[1]Sheet8!$P$3:$Q$94,2,0)</f>
        <v>2876</v>
      </c>
      <c r="Z46" s="71">
        <f>VLOOKUP($B46,[1]Sheet8!$J$3:$K$94,2,0)</f>
        <v>470</v>
      </c>
      <c r="AA46" s="71">
        <f>VLOOKUP($B46,[1]Sheet7!$H$2:$M$93,6,0)</f>
        <v>47031</v>
      </c>
      <c r="AB46" s="57">
        <v>2467.7757142857899</v>
      </c>
      <c r="AC46" s="57">
        <v>2601.6265864550301</v>
      </c>
      <c r="AD46" s="76">
        <v>5.4239480271398403E-2</v>
      </c>
      <c r="AE46" s="57">
        <f t="shared" si="38"/>
        <v>2861.7892451005332</v>
      </c>
      <c r="AF46" s="75">
        <v>1.1000000000000001</v>
      </c>
      <c r="AG46" s="77">
        <f>VLOOKUP($B46,[2]Sheet1!$E$2:$I$96,4,0)</f>
        <v>1849</v>
      </c>
      <c r="AH46" s="77">
        <f>VLOOKUP($B46,[2]Sheet1!$E$2:$I$96,5,0)</f>
        <v>281</v>
      </c>
      <c r="AI46" s="77">
        <f t="shared" si="39"/>
        <v>12943</v>
      </c>
      <c r="AJ46" s="61">
        <f t="shared" si="40"/>
        <v>1967</v>
      </c>
      <c r="AK46" s="61">
        <f>VLOOKUP(B46,[2]Sheet9!$D$2:$F$94,3,0)</f>
        <v>147</v>
      </c>
      <c r="AL46" s="61">
        <f>VLOOKUP(B46,[2]Sheet9!$J$3:$L$95,3,0)</f>
        <v>36</v>
      </c>
      <c r="AM46" s="61">
        <f>VLOOKUP(B46,[2]Sheet9!$P$3:$R$95,3,0)</f>
        <v>123</v>
      </c>
      <c r="AN46" s="70">
        <f t="shared" si="41"/>
        <v>-26571.443368890556</v>
      </c>
      <c r="AO46" s="71">
        <f t="shared" si="42"/>
        <v>0</v>
      </c>
      <c r="AP46" s="71">
        <f t="shared" si="43"/>
        <v>-519</v>
      </c>
      <c r="AQ46" s="71">
        <f t="shared" si="44"/>
        <v>118.85714285714289</v>
      </c>
      <c r="AR46" s="71">
        <f t="shared" si="45"/>
        <v>-993.57142857142844</v>
      </c>
      <c r="AS46" s="61" t="str">
        <f t="shared" si="46"/>
        <v>Full of Stock Risk</v>
      </c>
      <c r="AT46" s="57">
        <v>17675.9826165083</v>
      </c>
      <c r="AU46" s="57">
        <f t="shared" si="62"/>
        <v>18211.386105185211</v>
      </c>
      <c r="AV46" s="57">
        <f t="shared" si="47"/>
        <v>14523.515831555562</v>
      </c>
      <c r="AW46" s="57">
        <v>18211.3861051852</v>
      </c>
      <c r="AX46" s="57">
        <f t="shared" si="63"/>
        <v>16104.031663111127</v>
      </c>
      <c r="AY46" s="61">
        <f t="shared" si="48"/>
        <v>2209.4978270635374</v>
      </c>
      <c r="AZ46" s="61">
        <f>IFERROR(VLOOKUP(B46,[3]Sheet2!$E$4:$F$17,2,0),0)</f>
        <v>0</v>
      </c>
      <c r="BA46" s="61">
        <f t="shared" si="61"/>
        <v>2276.4232631481514</v>
      </c>
      <c r="BB46" s="61">
        <f t="shared" si="65"/>
        <v>1815.4394789444452</v>
      </c>
      <c r="BC46" s="61">
        <f t="shared" ref="BC46:BC69" si="67">AW46/8</f>
        <v>2276.42326314815</v>
      </c>
      <c r="BD46" s="61">
        <f t="shared" si="66"/>
        <v>2013.0039578888909</v>
      </c>
      <c r="BE46" s="61">
        <f t="shared" si="49"/>
        <v>368.24963784392293</v>
      </c>
      <c r="BF46" s="61">
        <f t="shared" si="50"/>
        <v>379.40387719135856</v>
      </c>
      <c r="BG46" s="61">
        <f t="shared" si="51"/>
        <v>302.57324649074087</v>
      </c>
      <c r="BH46" s="61">
        <f t="shared" si="52"/>
        <v>379.40387719135833</v>
      </c>
      <c r="BI46" s="61">
        <f t="shared" si="53"/>
        <v>335.50065964814848</v>
      </c>
      <c r="BJ46" s="61">
        <f t="shared" si="54"/>
        <v>1.8412481892196146</v>
      </c>
      <c r="BK46" s="61">
        <f t="shared" si="55"/>
        <v>1.8970193859567928</v>
      </c>
      <c r="BL46" s="61">
        <f t="shared" si="56"/>
        <v>1.5128662324537043</v>
      </c>
      <c r="BM46" s="61">
        <f t="shared" si="57"/>
        <v>1.8970193859567916</v>
      </c>
      <c r="BN46" s="61">
        <f t="shared" si="58"/>
        <v>1.6775032982407425</v>
      </c>
      <c r="BO46">
        <f t="shared" si="59"/>
        <v>326461.65329932421</v>
      </c>
      <c r="BP46" s="42">
        <f t="shared" si="60"/>
        <v>2013.0039578888909</v>
      </c>
      <c r="BQ46" s="42">
        <f>ROUNDUP(AK46,-1)-100</f>
        <v>50</v>
      </c>
      <c r="BR46" s="42">
        <f>ROUNDUP(AL46,-1)</f>
        <v>40</v>
      </c>
      <c r="BS46" s="42">
        <f>ROUNDUP(AM46,-1)-100</f>
        <v>30</v>
      </c>
      <c r="BT46">
        <f>VLOOKUP($B46,'[4]Food Monitor'!$A$4:$AD$95,16,0)</f>
        <v>200</v>
      </c>
      <c r="BU46">
        <f>VLOOKUP($B46,'[4]Food Monitor'!$A$4:$AD$95,27,0)</f>
        <v>120</v>
      </c>
    </row>
    <row r="47" spans="1:73" ht="16.5" hidden="1">
      <c r="A47" s="51" t="s">
        <v>105</v>
      </c>
      <c r="B47" s="51" t="s">
        <v>211</v>
      </c>
      <c r="C47" s="52" t="s">
        <v>212</v>
      </c>
      <c r="D47" s="51" t="s">
        <v>11</v>
      </c>
      <c r="E47" s="59" t="s">
        <v>11</v>
      </c>
      <c r="F47" s="59" t="s">
        <v>174</v>
      </c>
      <c r="G47" s="63">
        <v>348</v>
      </c>
      <c r="H47" s="61" t="s">
        <v>109</v>
      </c>
      <c r="I47" s="61" t="s">
        <v>113</v>
      </c>
      <c r="J47" s="70">
        <v>249762.95</v>
      </c>
      <c r="K47" s="70">
        <f t="shared" si="64"/>
        <v>317986.52000000025</v>
      </c>
      <c r="L47" s="71">
        <f t="shared" si="35"/>
        <v>76.879910418056141</v>
      </c>
      <c r="M47" s="71">
        <v>1800</v>
      </c>
      <c r="N47" s="71">
        <v>360</v>
      </c>
      <c r="O47" s="71">
        <v>2112</v>
      </c>
      <c r="P47" s="51">
        <f t="shared" si="36"/>
        <v>27</v>
      </c>
      <c r="Q47" s="73">
        <v>45191</v>
      </c>
      <c r="R47" s="73">
        <v>45218</v>
      </c>
      <c r="S47" s="70">
        <f>VLOOKUP(B47,[1]Sheet7!$H$2:$M$93,5,0)</f>
        <v>427411.41000000364</v>
      </c>
      <c r="T47" s="71">
        <f t="shared" si="37"/>
        <v>160.25924634420835</v>
      </c>
      <c r="U47" s="70">
        <f>VLOOKUP($B47,[1]Sheet7!$H$2:$M$93,4,0)</f>
        <v>314758.08000000188</v>
      </c>
      <c r="V47" s="70">
        <f>VLOOKUP($B47,[1]Sheet7!$H$2:$M$93,2,0)</f>
        <v>113080.9699999997</v>
      </c>
      <c r="W47" s="70">
        <f>VLOOKUP($B47,[1]Sheet7!$H$2:$M$93,3,0)</f>
        <v>0</v>
      </c>
      <c r="X47" s="71">
        <f>VLOOKUP($B47,[1]Sheet8!$D$2:$E$93,2,0)</f>
        <v>2648</v>
      </c>
      <c r="Y47" s="71">
        <f>VLOOKUP($B47,[1]Sheet8!$P$3:$Q$94,2,0)</f>
        <v>3473</v>
      </c>
      <c r="Z47" s="71">
        <f>VLOOKUP($B47,[1]Sheet8!$J$3:$K$94,2,0)</f>
        <v>540</v>
      </c>
      <c r="AA47" s="71">
        <f>VLOOKUP($B47,[1]Sheet7!$H$2:$M$93,6,0)</f>
        <v>56648</v>
      </c>
      <c r="AB47" s="57">
        <v>3248.7414285714399</v>
      </c>
      <c r="AC47" s="57">
        <v>3442.4427162519801</v>
      </c>
      <c r="AD47" s="76">
        <v>5.9623485567983997E-2</v>
      </c>
      <c r="AE47" s="57">
        <f t="shared" si="38"/>
        <v>3786.6869878771786</v>
      </c>
      <c r="AF47" s="75">
        <v>1.1000000000000001</v>
      </c>
      <c r="AG47" s="77">
        <f>VLOOKUP($B47,[2]Sheet1!$E$2:$I$96,4,0)</f>
        <v>2667</v>
      </c>
      <c r="AH47" s="77">
        <f>VLOOKUP($B47,[2]Sheet1!$E$2:$I$96,5,0)</f>
        <v>382</v>
      </c>
      <c r="AI47" s="77">
        <f t="shared" si="39"/>
        <v>18669</v>
      </c>
      <c r="AJ47" s="61">
        <f t="shared" si="40"/>
        <v>2674</v>
      </c>
      <c r="AK47" s="61">
        <f>VLOOKUP(B47,[2]Sheet9!$D$2:$F$94,3,0)</f>
        <v>153</v>
      </c>
      <c r="AL47" s="61">
        <f>VLOOKUP(B47,[2]Sheet9!$J$3:$L$95,3,0)</f>
        <v>41</v>
      </c>
      <c r="AM47" s="61">
        <f>VLOOKUP(B47,[2]Sheet9!$P$3:$R$95,3,0)</f>
        <v>170</v>
      </c>
      <c r="AN47" s="70">
        <f t="shared" si="41"/>
        <v>-33065.86591742048</v>
      </c>
      <c r="AO47" s="71">
        <f t="shared" si="42"/>
        <v>0</v>
      </c>
      <c r="AP47" s="71">
        <f t="shared" si="43"/>
        <v>-257.85714285714312</v>
      </c>
      <c r="AQ47" s="71">
        <f t="shared" si="44"/>
        <v>-21.85714285714289</v>
      </c>
      <c r="AR47" s="71">
        <f t="shared" si="45"/>
        <v>-705.28571428571422</v>
      </c>
      <c r="AS47" s="61" t="str">
        <f t="shared" si="46"/>
        <v>Full of Stock Risk</v>
      </c>
      <c r="AT47" s="57">
        <v>50000</v>
      </c>
      <c r="AU47" s="57">
        <f t="shared" si="62"/>
        <v>24097.099013763862</v>
      </c>
      <c r="AV47" s="57">
        <f t="shared" si="47"/>
        <v>20297.429704129157</v>
      </c>
      <c r="AW47" s="57">
        <v>50000</v>
      </c>
      <c r="AX47" s="57">
        <f t="shared" si="63"/>
        <v>21925.859408258315</v>
      </c>
      <c r="AY47" s="61">
        <f t="shared" si="48"/>
        <v>6250</v>
      </c>
      <c r="AZ47" s="61">
        <f>IFERROR(VLOOKUP(B47,[3]Sheet2!$E$4:$F$17,2,0),0)</f>
        <v>0</v>
      </c>
      <c r="BA47" s="61">
        <f t="shared" si="61"/>
        <v>3012.1373767204827</v>
      </c>
      <c r="BB47" s="61">
        <f t="shared" si="65"/>
        <v>2537.1787130161447</v>
      </c>
      <c r="BC47" s="61">
        <f t="shared" si="67"/>
        <v>6250</v>
      </c>
      <c r="BD47" s="61">
        <f t="shared" si="66"/>
        <v>2740.7324260322894</v>
      </c>
      <c r="BE47" s="61">
        <f t="shared" si="49"/>
        <v>1041.6666666666667</v>
      </c>
      <c r="BF47" s="61">
        <f t="shared" si="50"/>
        <v>502.02289612008047</v>
      </c>
      <c r="BG47" s="61">
        <f t="shared" si="51"/>
        <v>422.86311883602411</v>
      </c>
      <c r="BH47" s="61">
        <f t="shared" si="52"/>
        <v>1041.6666666666667</v>
      </c>
      <c r="BI47" s="61">
        <f t="shared" si="53"/>
        <v>456.78873767204823</v>
      </c>
      <c r="BJ47" s="61">
        <f t="shared" si="54"/>
        <v>5.208333333333333</v>
      </c>
      <c r="BK47" s="61">
        <f t="shared" si="55"/>
        <v>2.5101144806004023</v>
      </c>
      <c r="BL47" s="61">
        <f t="shared" si="56"/>
        <v>2.1143155941801206</v>
      </c>
      <c r="BM47" s="61">
        <f t="shared" si="57"/>
        <v>5.208333333333333</v>
      </c>
      <c r="BN47" s="61">
        <f t="shared" si="58"/>
        <v>2.2839436883602411</v>
      </c>
      <c r="BO47">
        <f t="shared" si="59"/>
        <v>461219.84378145251</v>
      </c>
      <c r="BP47" s="42">
        <f t="shared" si="60"/>
        <v>2740.7324260322894</v>
      </c>
      <c r="BQ47" s="42">
        <f>ROUNDUP(AK47,-1)-100</f>
        <v>60</v>
      </c>
      <c r="BR47" s="42">
        <f>ROUNDUP(AL47,-1)-20</f>
        <v>30</v>
      </c>
      <c r="BS47" s="42">
        <f>ROUNDUP(AM47,-1)-100</f>
        <v>70</v>
      </c>
      <c r="BT47">
        <f>VLOOKUP($B47,'[4]Food Monitor'!$A$4:$AD$95,16,0)</f>
        <v>200</v>
      </c>
      <c r="BU47">
        <f>VLOOKUP($B47,'[4]Food Monitor'!$A$4:$AD$95,27,0)</f>
        <v>160</v>
      </c>
    </row>
    <row r="48" spans="1:73" ht="16.5" hidden="1">
      <c r="A48" s="51" t="s">
        <v>105</v>
      </c>
      <c r="B48" s="51" t="s">
        <v>213</v>
      </c>
      <c r="C48" s="52" t="s">
        <v>214</v>
      </c>
      <c r="D48" s="51" t="s">
        <v>11</v>
      </c>
      <c r="E48" s="59" t="s">
        <v>11</v>
      </c>
      <c r="F48" s="59" t="s">
        <v>197</v>
      </c>
      <c r="G48" s="63">
        <v>236</v>
      </c>
      <c r="H48" s="61" t="s">
        <v>121</v>
      </c>
      <c r="I48" s="61" t="s">
        <v>166</v>
      </c>
      <c r="J48" s="70">
        <v>197795.97</v>
      </c>
      <c r="K48" s="70">
        <f t="shared" si="64"/>
        <v>238694.35500000141</v>
      </c>
      <c r="L48" s="71">
        <f t="shared" si="35"/>
        <v>101.56184333439711</v>
      </c>
      <c r="M48" s="71">
        <v>900</v>
      </c>
      <c r="N48" s="71">
        <v>360</v>
      </c>
      <c r="O48" s="71">
        <v>1408</v>
      </c>
      <c r="P48" s="51">
        <f t="shared" si="36"/>
        <v>27</v>
      </c>
      <c r="Q48" s="73">
        <v>45191</v>
      </c>
      <c r="R48" s="73">
        <v>45218</v>
      </c>
      <c r="S48" s="70">
        <f>VLOOKUP(B48,[1]Sheet7!$H$2:$M$93,5,0)</f>
        <v>292951.70000000246</v>
      </c>
      <c r="T48" s="71">
        <f t="shared" si="37"/>
        <v>201.89641626464677</v>
      </c>
      <c r="U48" s="70">
        <f>VLOOKUP($B48,[1]Sheet7!$H$2:$M$93,4,0)</f>
        <v>231037.65000000122</v>
      </c>
      <c r="V48" s="70">
        <f>VLOOKUP($B48,[1]Sheet7!$H$2:$M$93,2,0)</f>
        <v>47469.06</v>
      </c>
      <c r="W48" s="70">
        <f>VLOOKUP($B48,[1]Sheet7!$H$2:$M$93,3,0)</f>
        <v>15005.700000000008</v>
      </c>
      <c r="X48" s="71">
        <f>VLOOKUP($B48,[1]Sheet8!$D$2:$E$93,2,0)</f>
        <v>1754</v>
      </c>
      <c r="Y48" s="71">
        <f>VLOOKUP($B48,[1]Sheet8!$P$3:$Q$94,2,0)</f>
        <v>2989</v>
      </c>
      <c r="Z48" s="71">
        <f>VLOOKUP($B48,[1]Sheet8!$J$3:$K$94,2,0)</f>
        <v>243</v>
      </c>
      <c r="AA48" s="71">
        <f>VLOOKUP($B48,[1]Sheet7!$H$2:$M$93,6,0)</f>
        <v>38702</v>
      </c>
      <c r="AB48" s="57">
        <v>1947.5421428572099</v>
      </c>
      <c r="AC48" s="57">
        <v>1947.5421428572099</v>
      </c>
      <c r="AD48" s="75">
        <v>0</v>
      </c>
      <c r="AE48" s="57">
        <f t="shared" si="38"/>
        <v>2142.2963571429309</v>
      </c>
      <c r="AF48" s="75">
        <v>1.1000000000000001</v>
      </c>
      <c r="AG48" s="77">
        <f>VLOOKUP($B48,[2]Sheet1!$E$2:$I$96,4,0)</f>
        <v>1451</v>
      </c>
      <c r="AH48" s="77">
        <f>VLOOKUP($B48,[2]Sheet1!$E$2:$I$96,5,0)</f>
        <v>212</v>
      </c>
      <c r="AI48" s="77">
        <f t="shared" si="39"/>
        <v>10157</v>
      </c>
      <c r="AJ48" s="61">
        <f t="shared" si="40"/>
        <v>1484</v>
      </c>
      <c r="AK48" s="61">
        <f>VLOOKUP(B48,[2]Sheet9!$D$2:$F$94,3,0)</f>
        <v>88</v>
      </c>
      <c r="AL48" s="61">
        <f>VLOOKUP(B48,[2]Sheet9!$J$3:$L$95,3,0)</f>
        <v>28</v>
      </c>
      <c r="AM48" s="61">
        <f>VLOOKUP(B48,[2]Sheet9!$P$3:$R$95,3,0)</f>
        <v>137</v>
      </c>
      <c r="AN48" s="70">
        <f t="shared" si="41"/>
        <v>-13358.959999999614</v>
      </c>
      <c r="AO48" s="71">
        <f t="shared" si="42"/>
        <v>0</v>
      </c>
      <c r="AP48" s="71">
        <f t="shared" si="43"/>
        <v>-514.57142857142844</v>
      </c>
      <c r="AQ48" s="71">
        <f t="shared" si="44"/>
        <v>225</v>
      </c>
      <c r="AR48" s="71">
        <f t="shared" si="45"/>
        <v>-1052.5714285714284</v>
      </c>
      <c r="AS48" s="61" t="str">
        <f t="shared" si="46"/>
        <v>Normal</v>
      </c>
      <c r="AT48" s="57">
        <v>13632.7950000004</v>
      </c>
      <c r="AU48" s="57">
        <f t="shared" si="62"/>
        <v>13632.795000000469</v>
      </c>
      <c r="AV48" s="57">
        <f t="shared" si="47"/>
        <v>11199.738500000141</v>
      </c>
      <c r="AW48" s="57">
        <v>13632.7950000004</v>
      </c>
      <c r="AX48" s="57">
        <f t="shared" si="63"/>
        <v>12242.477000000283</v>
      </c>
      <c r="AY48" s="61">
        <f t="shared" si="48"/>
        <v>1704.09937500005</v>
      </c>
      <c r="AZ48" s="61">
        <f>IFERROR(VLOOKUP(B48,[3]Sheet2!$E$4:$F$17,2,0),0)</f>
        <v>0</v>
      </c>
      <c r="BA48" s="61">
        <f t="shared" si="61"/>
        <v>1704.0993750000587</v>
      </c>
      <c r="BB48" s="61">
        <f t="shared" si="65"/>
        <v>1399.9673125000177</v>
      </c>
      <c r="BC48" s="61">
        <f t="shared" si="67"/>
        <v>1704.09937500005</v>
      </c>
      <c r="BD48" s="61">
        <f t="shared" si="66"/>
        <v>1530.3096250000353</v>
      </c>
      <c r="BE48" s="61">
        <f t="shared" si="49"/>
        <v>284.01656250000832</v>
      </c>
      <c r="BF48" s="61">
        <f t="shared" si="50"/>
        <v>284.0165625000098</v>
      </c>
      <c r="BG48" s="61">
        <f t="shared" si="51"/>
        <v>233.3278854166696</v>
      </c>
      <c r="BH48" s="61">
        <f t="shared" si="52"/>
        <v>284.01656250000832</v>
      </c>
      <c r="BI48" s="61">
        <f t="shared" si="53"/>
        <v>255.05160416667255</v>
      </c>
      <c r="BJ48" s="61">
        <f t="shared" si="54"/>
        <v>1.4200828125000418</v>
      </c>
      <c r="BK48" s="61">
        <f t="shared" si="55"/>
        <v>1.4200828125000489</v>
      </c>
      <c r="BL48" s="61">
        <f t="shared" si="56"/>
        <v>1.166639427083348</v>
      </c>
      <c r="BM48" s="61">
        <f t="shared" si="57"/>
        <v>1.4200828125000418</v>
      </c>
      <c r="BN48" s="61">
        <f t="shared" si="58"/>
        <v>1.2752580208333628</v>
      </c>
      <c r="BO48">
        <f t="shared" si="59"/>
        <v>281338.15692857298</v>
      </c>
      <c r="BP48" s="42">
        <f t="shared" si="60"/>
        <v>1530.3096250000353</v>
      </c>
      <c r="BQ48" s="42">
        <v>0</v>
      </c>
      <c r="BR48" s="42">
        <f>ROUNDUP(AL48,-1)</f>
        <v>30</v>
      </c>
      <c r="BS48" s="42">
        <f>ROUNDUP(AM48,-1)-100</f>
        <v>40</v>
      </c>
      <c r="BT48">
        <f>VLOOKUP($B48,'[4]Food Monitor'!$A$4:$AD$95,16,0)</f>
        <v>160</v>
      </c>
      <c r="BU48">
        <f>VLOOKUP($B48,'[4]Food Monitor'!$A$4:$AD$95,27,0)</f>
        <v>40</v>
      </c>
    </row>
    <row r="49" spans="1:73" ht="16.5" hidden="1">
      <c r="A49" s="51" t="s">
        <v>105</v>
      </c>
      <c r="B49" s="51" t="s">
        <v>215</v>
      </c>
      <c r="C49" s="52" t="s">
        <v>216</v>
      </c>
      <c r="D49" s="51" t="s">
        <v>11</v>
      </c>
      <c r="E49" s="59" t="s">
        <v>11</v>
      </c>
      <c r="F49" s="59" t="s">
        <v>182</v>
      </c>
      <c r="G49" s="63">
        <v>313</v>
      </c>
      <c r="H49" s="61" t="s">
        <v>116</v>
      </c>
      <c r="I49" s="61" t="s">
        <v>113</v>
      </c>
      <c r="J49" s="70">
        <v>464032.180600002</v>
      </c>
      <c r="K49" s="70">
        <f t="shared" si="64"/>
        <v>678620.33560001315</v>
      </c>
      <c r="L49" s="71">
        <f t="shared" si="35"/>
        <v>45.411060981439249</v>
      </c>
      <c r="M49" s="71">
        <v>1800</v>
      </c>
      <c r="N49" s="71">
        <v>720</v>
      </c>
      <c r="O49" s="71">
        <v>3168</v>
      </c>
      <c r="P49" s="51">
        <f t="shared" si="36"/>
        <v>27</v>
      </c>
      <c r="Q49" s="73">
        <v>45191</v>
      </c>
      <c r="R49" s="73">
        <v>45218</v>
      </c>
      <c r="S49" s="70">
        <f>VLOOKUP(B49,[1]Sheet7!$H$2:$M$93,5,0)</f>
        <v>901557.30999999575</v>
      </c>
      <c r="T49" s="71">
        <f t="shared" si="37"/>
        <v>132.93384104983718</v>
      </c>
      <c r="U49" s="70">
        <f>VLOOKUP($B49,[1]Sheet7!$H$2:$M$93,4,0)</f>
        <v>683928.12999999686</v>
      </c>
      <c r="V49" s="70">
        <f>VLOOKUP($B49,[1]Sheet7!$H$2:$M$93,2,0)</f>
        <v>217204.41000000102</v>
      </c>
      <c r="W49" s="70">
        <f>VLOOKUP($B49,[1]Sheet7!$H$2:$M$93,3,0)</f>
        <v>0</v>
      </c>
      <c r="X49" s="71">
        <f>VLOOKUP($B49,[1]Sheet8!$D$2:$E$93,2,0)</f>
        <v>5030</v>
      </c>
      <c r="Y49" s="71">
        <f>VLOOKUP($B49,[1]Sheet8!$P$3:$Q$94,2,0)</f>
        <v>6204</v>
      </c>
      <c r="Z49" s="71">
        <f>VLOOKUP($B49,[1]Sheet8!$J$3:$K$94,2,0)</f>
        <v>871</v>
      </c>
      <c r="AA49" s="71">
        <f>VLOOKUP($B49,[1]Sheet7!$H$2:$M$93,6,0)</f>
        <v>113233</v>
      </c>
      <c r="AB49" s="57">
        <v>10218.4835714291</v>
      </c>
      <c r="AC49" s="57">
        <v>10218.4835714291</v>
      </c>
      <c r="AD49" s="75">
        <v>0</v>
      </c>
      <c r="AE49" s="57">
        <f t="shared" si="38"/>
        <v>11240.331928572012</v>
      </c>
      <c r="AF49" s="75">
        <v>1.1000000000000001</v>
      </c>
      <c r="AG49" s="77">
        <f>VLOOKUP($B49,[2]Sheet1!$E$2:$I$96,4,0)</f>
        <v>6782</v>
      </c>
      <c r="AH49" s="77">
        <f>VLOOKUP($B49,[2]Sheet1!$E$2:$I$96,5,0)</f>
        <v>914</v>
      </c>
      <c r="AI49" s="77">
        <f t="shared" si="39"/>
        <v>47474</v>
      </c>
      <c r="AJ49" s="61">
        <f t="shared" si="40"/>
        <v>6398</v>
      </c>
      <c r="AK49" s="61">
        <f>VLOOKUP(B49,[2]Sheet9!$D$2:$F$94,3,0)</f>
        <v>261</v>
      </c>
      <c r="AL49" s="61">
        <f>VLOOKUP(B49,[2]Sheet9!$J$3:$L$95,3,0)</f>
        <v>68</v>
      </c>
      <c r="AM49" s="61">
        <f>VLOOKUP(B49,[2]Sheet9!$P$3:$R$95,3,0)</f>
        <v>375</v>
      </c>
      <c r="AN49" s="70">
        <f t="shared" si="41"/>
        <v>-8348.8193999716314</v>
      </c>
      <c r="AO49" s="71">
        <f t="shared" si="42"/>
        <v>0</v>
      </c>
      <c r="AP49" s="71">
        <f t="shared" si="43"/>
        <v>-2223.2857142857142</v>
      </c>
      <c r="AQ49" s="71">
        <f t="shared" si="44"/>
        <v>111.28571428571422</v>
      </c>
      <c r="AR49" s="71">
        <f t="shared" si="45"/>
        <v>-1589.5714285714284</v>
      </c>
      <c r="AS49" s="61" t="str">
        <f t="shared" si="46"/>
        <v>Normal</v>
      </c>
      <c r="AT49" s="57">
        <v>71529.385000003997</v>
      </c>
      <c r="AU49" s="57">
        <f t="shared" si="62"/>
        <v>71529.385000003705</v>
      </c>
      <c r="AV49" s="57">
        <f t="shared" si="47"/>
        <v>54690.615500001106</v>
      </c>
      <c r="AW49" s="57">
        <v>71529.385000003997</v>
      </c>
      <c r="AX49" s="57">
        <f>AI49*0.8+AC49*7*0.2</f>
        <v>52285.077000000747</v>
      </c>
      <c r="AY49" s="61">
        <f t="shared" si="48"/>
        <v>8941.1731250004996</v>
      </c>
      <c r="AZ49" s="61">
        <f>IFERROR(VLOOKUP(B49,[3]Sheet2!$E$4:$F$17,2,0),0)</f>
        <v>2498</v>
      </c>
      <c r="BA49" s="61">
        <f>AU49/8-AZ49</f>
        <v>6443.1731250004632</v>
      </c>
      <c r="BB49" s="61">
        <f t="shared" si="65"/>
        <v>6836.3269375001382</v>
      </c>
      <c r="BC49" s="61">
        <f t="shared" si="67"/>
        <v>8941.1731250004996</v>
      </c>
      <c r="BD49" s="61">
        <f t="shared" si="66"/>
        <v>6535.6346250000934</v>
      </c>
      <c r="BE49" s="61">
        <f t="shared" si="49"/>
        <v>1490.1955208334166</v>
      </c>
      <c r="BF49" s="61">
        <f t="shared" si="50"/>
        <v>1073.8621875000772</v>
      </c>
      <c r="BG49" s="61">
        <f t="shared" si="51"/>
        <v>1139.3878229166896</v>
      </c>
      <c r="BH49" s="61">
        <f t="shared" si="52"/>
        <v>1490.1955208334166</v>
      </c>
      <c r="BI49" s="61">
        <f t="shared" si="53"/>
        <v>672.93910416668223</v>
      </c>
      <c r="BJ49" s="61">
        <f t="shared" si="54"/>
        <v>7.4509776041670825</v>
      </c>
      <c r="BK49" s="61">
        <f t="shared" si="55"/>
        <v>5.3693109375003862</v>
      </c>
      <c r="BL49" s="61">
        <f t="shared" si="56"/>
        <v>5.6969391145834489</v>
      </c>
      <c r="BM49" s="61">
        <f t="shared" si="57"/>
        <v>7.4509776041670825</v>
      </c>
      <c r="BN49" s="61">
        <f t="shared" si="58"/>
        <v>3.3646955208334113</v>
      </c>
      <c r="BO49">
        <f t="shared" si="59"/>
        <v>824600.29821427446</v>
      </c>
      <c r="BP49" s="42">
        <f t="shared" si="60"/>
        <v>4037.6346250000934</v>
      </c>
      <c r="BQ49" s="42">
        <f t="shared" ref="BQ49:BQ58" si="68">ROUNDUP(AK49,-1)-100</f>
        <v>170</v>
      </c>
      <c r="BR49" s="42">
        <f>ROUNDUP(AL49,-1)</f>
        <v>70</v>
      </c>
      <c r="BS49" s="42">
        <f>ROUNDUP(AM49,-1)-100</f>
        <v>280</v>
      </c>
      <c r="BT49">
        <f>VLOOKUP($B49,'[4]Food Monitor'!$A$4:$AD$95,16,0)</f>
        <v>400</v>
      </c>
      <c r="BU49">
        <f>VLOOKUP($B49,'[4]Food Monitor'!$A$4:$AD$95,27,0)</f>
        <v>230</v>
      </c>
    </row>
    <row r="50" spans="1:73" ht="16.5" hidden="1">
      <c r="A50" s="51" t="s">
        <v>105</v>
      </c>
      <c r="B50" s="51" t="s">
        <v>217</v>
      </c>
      <c r="C50" s="52" t="s">
        <v>218</v>
      </c>
      <c r="D50" s="51" t="s">
        <v>11</v>
      </c>
      <c r="E50" s="59" t="s">
        <v>11</v>
      </c>
      <c r="F50" s="59" t="s">
        <v>182</v>
      </c>
      <c r="G50" s="63">
        <v>443</v>
      </c>
      <c r="H50" s="61" t="s">
        <v>116</v>
      </c>
      <c r="I50" s="61" t="s">
        <v>113</v>
      </c>
      <c r="J50" s="70">
        <v>540678.04</v>
      </c>
      <c r="K50" s="70">
        <f t="shared" si="64"/>
        <v>872976.63999999466</v>
      </c>
      <c r="L50" s="71">
        <f t="shared" si="35"/>
        <v>34.168783256986892</v>
      </c>
      <c r="M50" s="71">
        <v>1980</v>
      </c>
      <c r="N50" s="71">
        <v>720</v>
      </c>
      <c r="O50" s="71">
        <v>3168</v>
      </c>
      <c r="P50" s="51">
        <f t="shared" si="36"/>
        <v>27</v>
      </c>
      <c r="Q50" s="73">
        <v>45191</v>
      </c>
      <c r="R50" s="73">
        <v>45218</v>
      </c>
      <c r="S50" s="70">
        <f>VLOOKUP(B50,[1]Sheet7!$H$2:$M$93,5,0)</f>
        <v>1297275.4499999925</v>
      </c>
      <c r="T50" s="71">
        <f t="shared" si="37"/>
        <v>113.5570246848733</v>
      </c>
      <c r="U50" s="70">
        <f>VLOOKUP($B50,[1]Sheet7!$H$2:$M$93,4,0)</f>
        <v>1043457.7599999978</v>
      </c>
      <c r="V50" s="70">
        <f>VLOOKUP($B50,[1]Sheet7!$H$2:$M$93,2,0)</f>
        <v>254382.06000000073</v>
      </c>
      <c r="W50" s="70">
        <f>VLOOKUP($B50,[1]Sheet7!$H$2:$M$93,3,0)</f>
        <v>0</v>
      </c>
      <c r="X50" s="71">
        <f>VLOOKUP($B50,[1]Sheet8!$D$2:$E$93,2,0)</f>
        <v>7257</v>
      </c>
      <c r="Y50" s="71">
        <f>VLOOKUP($B50,[1]Sheet8!$P$3:$Q$94,2,0)</f>
        <v>9983</v>
      </c>
      <c r="Z50" s="71">
        <f>VLOOKUP($B50,[1]Sheet8!$J$3:$K$94,2,0)</f>
        <v>1475</v>
      </c>
      <c r="AA50" s="71">
        <f>VLOOKUP($B50,[1]Sheet7!$H$2:$M$93,6,0)</f>
        <v>164240</v>
      </c>
      <c r="AB50" s="57">
        <v>15823.742857142601</v>
      </c>
      <c r="AC50" s="57">
        <v>15823.742857142601</v>
      </c>
      <c r="AD50" s="75">
        <v>0</v>
      </c>
      <c r="AE50" s="57">
        <f t="shared" si="38"/>
        <v>17406.117142856863</v>
      </c>
      <c r="AF50" s="75">
        <v>1.1000000000000001</v>
      </c>
      <c r="AG50" s="77">
        <f>VLOOKUP($B50,[2]Sheet1!$E$2:$I$96,4,0)</f>
        <v>11424</v>
      </c>
      <c r="AH50" s="77">
        <f>VLOOKUP($B50,[2]Sheet1!$E$2:$I$96,5,0)</f>
        <v>1701</v>
      </c>
      <c r="AI50" s="77">
        <f t="shared" si="39"/>
        <v>79968</v>
      </c>
      <c r="AJ50" s="61" t="s">
        <v>219</v>
      </c>
      <c r="AK50" s="61">
        <f>VLOOKUP(B50,[2]Sheet9!$D$2:$F$94,3,0)</f>
        <v>559</v>
      </c>
      <c r="AL50" s="61">
        <f>VLOOKUP(B50,[2]Sheet9!$J$3:$L$95,3,0)</f>
        <v>132</v>
      </c>
      <c r="AM50" s="61">
        <f>VLOOKUP(B50,[2]Sheet9!$P$3:$R$95,3,0)</f>
        <v>637</v>
      </c>
      <c r="AN50" s="70">
        <f t="shared" si="41"/>
        <v>-92000.210000003222</v>
      </c>
      <c r="AO50" s="71">
        <f t="shared" si="42"/>
        <v>0</v>
      </c>
      <c r="AP50" s="71">
        <f t="shared" si="43"/>
        <v>-3120.8571428571431</v>
      </c>
      <c r="AQ50" s="71">
        <f t="shared" si="44"/>
        <v>-245.85714285714289</v>
      </c>
      <c r="AR50" s="71">
        <f t="shared" si="45"/>
        <v>-4358</v>
      </c>
      <c r="AS50" s="61" t="str">
        <f t="shared" si="46"/>
        <v>Full of Stock Risk</v>
      </c>
      <c r="AT50" s="57">
        <v>110766.199999998</v>
      </c>
      <c r="AU50" s="57">
        <f>AG50*7</f>
        <v>79968</v>
      </c>
      <c r="AV50" s="57">
        <f t="shared" si="47"/>
        <v>89207.459999999468</v>
      </c>
      <c r="AW50" s="57">
        <v>110766.199999998</v>
      </c>
      <c r="AX50" s="57">
        <f>AI50*0.5+AC50*7*0.5</f>
        <v>95367.099999999104</v>
      </c>
      <c r="AY50" s="61">
        <f t="shared" si="48"/>
        <v>13845.77499999975</v>
      </c>
      <c r="AZ50" s="61">
        <f>IFERROR(VLOOKUP(B50,[3]Sheet2!$E$4:$F$17,2,0),0)</f>
        <v>3440</v>
      </c>
      <c r="BA50" s="61">
        <f>AU50/8-AZ50</f>
        <v>6556</v>
      </c>
      <c r="BB50" s="61">
        <f t="shared" si="65"/>
        <v>11150.932499999933</v>
      </c>
      <c r="BC50" s="61">
        <f t="shared" si="67"/>
        <v>13845.77499999975</v>
      </c>
      <c r="BD50" s="61">
        <f t="shared" si="66"/>
        <v>11920.887499999888</v>
      </c>
      <c r="BE50" s="61">
        <f t="shared" si="49"/>
        <v>2307.6291666666252</v>
      </c>
      <c r="BF50" s="61">
        <f t="shared" si="50"/>
        <v>1092.6666666666667</v>
      </c>
      <c r="BG50" s="61">
        <f t="shared" si="51"/>
        <v>1858.4887499999888</v>
      </c>
      <c r="BH50" s="61">
        <f t="shared" si="52"/>
        <v>2307.6291666666252</v>
      </c>
      <c r="BI50" s="61">
        <f t="shared" si="53"/>
        <v>1413.4812499999814</v>
      </c>
      <c r="BJ50" s="61">
        <f t="shared" si="54"/>
        <v>11.538145833333125</v>
      </c>
      <c r="BK50" s="61">
        <f t="shared" si="55"/>
        <v>5.4633333333333329</v>
      </c>
      <c r="BL50" s="61">
        <f t="shared" si="56"/>
        <v>9.2924437499999453</v>
      </c>
      <c r="BM50" s="61">
        <f t="shared" si="57"/>
        <v>11.538145833333125</v>
      </c>
      <c r="BN50" s="61">
        <f t="shared" si="58"/>
        <v>7.0674062499999062</v>
      </c>
      <c r="BO50">
        <f t="shared" si="59"/>
        <v>1166224.4385714256</v>
      </c>
      <c r="BP50" s="42">
        <f t="shared" si="60"/>
        <v>8480.887499999888</v>
      </c>
      <c r="BQ50" s="42">
        <f t="shared" si="68"/>
        <v>460</v>
      </c>
      <c r="BR50" s="42">
        <f>ROUNDUP(AL50,-1)-50</f>
        <v>90</v>
      </c>
      <c r="BS50" s="42">
        <f>ROUNDUP(AM50,-1)-100</f>
        <v>540</v>
      </c>
      <c r="BT50">
        <f>VLOOKUP($B50,'[4]Food Monitor'!$A$4:$AD$95,16,0)</f>
        <v>1000</v>
      </c>
      <c r="BU50">
        <f>VLOOKUP($B50,'[4]Food Monitor'!$A$4:$AD$95,27,0)</f>
        <v>590</v>
      </c>
    </row>
    <row r="51" spans="1:73" ht="16.5" hidden="1">
      <c r="A51" s="51" t="s">
        <v>105</v>
      </c>
      <c r="B51" s="51" t="s">
        <v>220</v>
      </c>
      <c r="C51" s="52" t="s">
        <v>221</v>
      </c>
      <c r="D51" s="51" t="s">
        <v>20</v>
      </c>
      <c r="E51" s="59" t="s">
        <v>19</v>
      </c>
      <c r="F51" s="59" t="s">
        <v>19</v>
      </c>
      <c r="G51" s="63">
        <v>411</v>
      </c>
      <c r="H51" s="61" t="s">
        <v>116</v>
      </c>
      <c r="I51" s="61" t="s">
        <v>151</v>
      </c>
      <c r="J51" s="70">
        <v>366427.28</v>
      </c>
      <c r="K51" s="70">
        <f t="shared" si="64"/>
        <v>499342.85000000597</v>
      </c>
      <c r="L51" s="71">
        <f t="shared" si="35"/>
        <v>57.893690558597889</v>
      </c>
      <c r="M51" s="71">
        <v>1800</v>
      </c>
      <c r="N51" s="71">
        <v>630</v>
      </c>
      <c r="O51" s="71">
        <v>3168</v>
      </c>
      <c r="P51" s="51">
        <f t="shared" si="36"/>
        <v>27</v>
      </c>
      <c r="Q51" s="73">
        <v>45191</v>
      </c>
      <c r="R51" s="73">
        <v>45218</v>
      </c>
      <c r="S51" s="70">
        <f>VLOOKUP(B51,[1]Sheet7!$H$2:$M$93,5,0)</f>
        <v>540395.19000000064</v>
      </c>
      <c r="T51" s="71">
        <f t="shared" si="37"/>
        <v>118.01598383926635</v>
      </c>
      <c r="U51" s="70">
        <f>VLOOKUP($B51,[1]Sheet7!$H$2:$M$93,4,0)</f>
        <v>473733.2799999998</v>
      </c>
      <c r="V51" s="70">
        <f>VLOOKUP($B51,[1]Sheet7!$H$2:$M$93,2,0)</f>
        <v>65854.549999999901</v>
      </c>
      <c r="W51" s="70">
        <f>VLOOKUP($B51,[1]Sheet7!$H$2:$M$93,3,0)</f>
        <v>0</v>
      </c>
      <c r="X51" s="71">
        <f>VLOOKUP($B51,[1]Sheet8!$D$2:$E$93,2,0)</f>
        <v>2969</v>
      </c>
      <c r="Y51" s="71">
        <f>VLOOKUP($B51,[1]Sheet8!$P$3:$Q$94,2,0)</f>
        <v>5031</v>
      </c>
      <c r="Z51" s="71">
        <f>VLOOKUP($B51,[1]Sheet8!$J$3:$K$94,2,0)</f>
        <v>692</v>
      </c>
      <c r="AA51" s="71">
        <f>VLOOKUP($B51,[1]Sheet7!$H$2:$M$93,6,0)</f>
        <v>69848</v>
      </c>
      <c r="AB51" s="57">
        <v>6329.3128571431398</v>
      </c>
      <c r="AC51" s="57">
        <v>7435.7981069913503</v>
      </c>
      <c r="AD51" s="76">
        <v>0.174819174659607</v>
      </c>
      <c r="AE51" s="57">
        <f t="shared" si="38"/>
        <v>8179.3779176904864</v>
      </c>
      <c r="AF51" s="75">
        <v>1.1000000000000001</v>
      </c>
      <c r="AG51" s="77">
        <f>VLOOKUP($B51,[2]Sheet1!$E$2:$I$96,4,0)</f>
        <v>4579</v>
      </c>
      <c r="AH51" s="77">
        <f>VLOOKUP($B51,[2]Sheet1!$E$2:$I$96,5,0)</f>
        <v>645</v>
      </c>
      <c r="AI51" s="77">
        <f t="shared" si="39"/>
        <v>32053</v>
      </c>
      <c r="AJ51" s="61">
        <f t="shared" si="40"/>
        <v>4515</v>
      </c>
      <c r="AK51" s="61">
        <f>VLOOKUP(B51,[2]Sheet9!$D$2:$F$94,3,0)</f>
        <v>244</v>
      </c>
      <c r="AL51" s="61">
        <f>VLOOKUP(B51,[2]Sheet9!$J$3:$L$95,3,0)</f>
        <v>54</v>
      </c>
      <c r="AM51" s="61">
        <f>VLOOKUP(B51,[2]Sheet9!$P$3:$R$95,3,0)</f>
        <v>360</v>
      </c>
      <c r="AN51" s="70">
        <f t="shared" si="41"/>
        <v>138335.61049363611</v>
      </c>
      <c r="AO51" s="71">
        <f t="shared" si="42"/>
        <v>17291.951311704514</v>
      </c>
      <c r="AP51" s="71">
        <f t="shared" si="43"/>
        <v>-227.85714285714312</v>
      </c>
      <c r="AQ51" s="71">
        <f t="shared" si="44"/>
        <v>146.28571428571422</v>
      </c>
      <c r="AR51" s="71">
        <f t="shared" si="45"/>
        <v>-474.42857142857156</v>
      </c>
      <c r="AS51" s="61" t="str">
        <f t="shared" si="46"/>
        <v>Out of Stock Risk</v>
      </c>
      <c r="AT51" s="57">
        <v>52050.5867489394</v>
      </c>
      <c r="AU51" s="57">
        <f>AC51*7</f>
        <v>52050.586748939451</v>
      </c>
      <c r="AV51" s="57">
        <f t="shared" si="47"/>
        <v>38052.276024681836</v>
      </c>
      <c r="AW51" s="57">
        <v>52050.5867489394</v>
      </c>
      <c r="AX51" s="57">
        <f>AI51*0.7+AC51*7*0.3</f>
        <v>38052.276024681836</v>
      </c>
      <c r="AY51" s="61">
        <f t="shared" si="48"/>
        <v>6506.3233436174251</v>
      </c>
      <c r="AZ51" s="61">
        <f>IFERROR(VLOOKUP(B51,[3]Sheet2!$E$4:$F$17,2,0),0)</f>
        <v>0</v>
      </c>
      <c r="BA51" s="61">
        <f t="shared" ref="BA51:BA57" si="69">AU51/8</f>
        <v>6506.3233436174314</v>
      </c>
      <c r="BB51" s="61">
        <f t="shared" si="65"/>
        <v>4756.5345030852295</v>
      </c>
      <c r="BC51" s="61">
        <f t="shared" si="67"/>
        <v>6506.3233436174251</v>
      </c>
      <c r="BD51" s="61">
        <f t="shared" si="66"/>
        <v>4756.5345030852295</v>
      </c>
      <c r="BE51" s="61">
        <f t="shared" si="49"/>
        <v>1084.3872239362374</v>
      </c>
      <c r="BF51" s="61">
        <f t="shared" si="50"/>
        <v>1084.3872239362386</v>
      </c>
      <c r="BG51" s="61">
        <f t="shared" si="51"/>
        <v>792.75575051420492</v>
      </c>
      <c r="BH51" s="61">
        <f t="shared" si="52"/>
        <v>1084.3872239362374</v>
      </c>
      <c r="BI51" s="61">
        <f t="shared" si="53"/>
        <v>792.75575051420492</v>
      </c>
      <c r="BJ51" s="61">
        <f t="shared" si="54"/>
        <v>5.4219361196811873</v>
      </c>
      <c r="BK51" s="61">
        <f t="shared" si="55"/>
        <v>5.4219361196811926</v>
      </c>
      <c r="BL51" s="61">
        <f t="shared" si="56"/>
        <v>3.9637787525710246</v>
      </c>
      <c r="BM51" s="61">
        <f t="shared" si="57"/>
        <v>5.4219361196811873</v>
      </c>
      <c r="BN51" s="61">
        <f t="shared" si="58"/>
        <v>3.9637787525710246</v>
      </c>
      <c r="BO51">
        <f t="shared" si="59"/>
        <v>492613.74337215378</v>
      </c>
      <c r="BP51" s="42">
        <f t="shared" si="60"/>
        <v>4756.5345030852295</v>
      </c>
      <c r="BQ51" s="42">
        <f t="shared" si="68"/>
        <v>150</v>
      </c>
      <c r="BR51" s="42">
        <f>ROUNDUP(AL51,-1)</f>
        <v>60</v>
      </c>
      <c r="BS51" s="42">
        <f>ROUNDUP(AM51,-1)</f>
        <v>360</v>
      </c>
      <c r="BT51">
        <f>VLOOKUP($B51,'[4]Food Monitor'!$A$4:$AD$95,16,0)</f>
        <v>400</v>
      </c>
      <c r="BU51">
        <f>VLOOKUP($B51,'[4]Food Monitor'!$A$4:$AD$95,27,0)</f>
        <v>190</v>
      </c>
    </row>
    <row r="52" spans="1:73" ht="16.5" hidden="1">
      <c r="A52" s="51" t="s">
        <v>105</v>
      </c>
      <c r="B52" s="51" t="s">
        <v>222</v>
      </c>
      <c r="C52" s="52" t="s">
        <v>223</v>
      </c>
      <c r="D52" s="51" t="s">
        <v>11</v>
      </c>
      <c r="E52" s="59" t="s">
        <v>11</v>
      </c>
      <c r="F52" s="59" t="s">
        <v>177</v>
      </c>
      <c r="G52" s="63">
        <v>333</v>
      </c>
      <c r="H52" s="61" t="s">
        <v>109</v>
      </c>
      <c r="I52" s="61" t="s">
        <v>166</v>
      </c>
      <c r="J52" s="70">
        <v>253066.40240000101</v>
      </c>
      <c r="K52" s="70">
        <f t="shared" si="64"/>
        <v>316010.33240000182</v>
      </c>
      <c r="L52" s="71">
        <f t="shared" si="35"/>
        <v>84.430610710197953</v>
      </c>
      <c r="M52" s="71">
        <v>990</v>
      </c>
      <c r="N52" s="71">
        <v>360</v>
      </c>
      <c r="O52" s="71">
        <v>2112</v>
      </c>
      <c r="P52" s="51">
        <f t="shared" si="36"/>
        <v>27</v>
      </c>
      <c r="Q52" s="73">
        <v>45191</v>
      </c>
      <c r="R52" s="73">
        <v>45218</v>
      </c>
      <c r="S52" s="70">
        <f>VLOOKUP(B52,[1]Sheet7!$H$2:$M$93,5,0)</f>
        <v>362207.6200000018</v>
      </c>
      <c r="T52" s="71">
        <f t="shared" si="37"/>
        <v>155.92235040895471</v>
      </c>
      <c r="U52" s="70">
        <f>VLOOKUP($B52,[1]Sheet7!$H$2:$M$93,4,0)</f>
        <v>284049.07000000036</v>
      </c>
      <c r="V52" s="70">
        <f>VLOOKUP($B52,[1]Sheet7!$H$2:$M$93,2,0)</f>
        <v>78374.849999999889</v>
      </c>
      <c r="W52" s="70">
        <f>VLOOKUP($B52,[1]Sheet7!$H$2:$M$93,3,0)</f>
        <v>0</v>
      </c>
      <c r="X52" s="71">
        <f>VLOOKUP($B52,[1]Sheet8!$D$2:$E$93,2,0)</f>
        <v>2278</v>
      </c>
      <c r="Y52" s="71">
        <f>VLOOKUP($B52,[1]Sheet8!$P$3:$Q$94,2,0)</f>
        <v>3237</v>
      </c>
      <c r="Z52" s="71">
        <f>VLOOKUP($B52,[1]Sheet8!$J$3:$K$94,2,0)</f>
        <v>361</v>
      </c>
      <c r="AA52" s="71">
        <f>VLOOKUP($B52,[1]Sheet7!$H$2:$M$93,6,0)</f>
        <v>47494</v>
      </c>
      <c r="AB52" s="57">
        <v>2997.3300000000399</v>
      </c>
      <c r="AC52" s="57">
        <v>2997.3300000000399</v>
      </c>
      <c r="AD52" s="75">
        <v>0</v>
      </c>
      <c r="AE52" s="57">
        <f t="shared" si="38"/>
        <v>3297.0630000000442</v>
      </c>
      <c r="AF52" s="75">
        <v>1.1000000000000001</v>
      </c>
      <c r="AG52" s="77">
        <f>VLOOKUP($B52,[2]Sheet1!$E$2:$I$96,4,0)</f>
        <v>2323</v>
      </c>
      <c r="AH52" s="77">
        <f>VLOOKUP($B52,[2]Sheet1!$E$2:$I$96,5,0)</f>
        <v>335</v>
      </c>
      <c r="AI52" s="77">
        <f t="shared" si="39"/>
        <v>16261</v>
      </c>
      <c r="AJ52" s="61">
        <f t="shared" si="40"/>
        <v>2345</v>
      </c>
      <c r="AK52" s="61">
        <f>VLOOKUP(B52,[2]Sheet9!$D$2:$F$94,3,0)</f>
        <v>179</v>
      </c>
      <c r="AL52" s="61">
        <f>VLOOKUP(B52,[2]Sheet9!$J$3:$L$95,3,0)</f>
        <v>19</v>
      </c>
      <c r="AM52" s="61">
        <f>VLOOKUP(B52,[2]Sheet9!$P$3:$R$95,3,0)</f>
        <v>175</v>
      </c>
      <c r="AN52" s="70">
        <f t="shared" si="41"/>
        <v>16746.642400000885</v>
      </c>
      <c r="AO52" s="71">
        <f t="shared" si="42"/>
        <v>2093.3303000001106</v>
      </c>
      <c r="AP52" s="71">
        <f t="shared" si="43"/>
        <v>-597.57142857142844</v>
      </c>
      <c r="AQ52" s="71">
        <f t="shared" si="44"/>
        <v>72.285714285714278</v>
      </c>
      <c r="AR52" s="71">
        <f t="shared" si="45"/>
        <v>-450</v>
      </c>
      <c r="AS52" s="61" t="str">
        <f t="shared" si="46"/>
        <v>Out of Stock Risk</v>
      </c>
      <c r="AT52" s="57">
        <v>20981.310000000201</v>
      </c>
      <c r="AU52" s="57">
        <f>AC52*7</f>
        <v>20981.310000000281</v>
      </c>
      <c r="AV52" s="57">
        <f t="shared" si="47"/>
        <v>17677.093000000081</v>
      </c>
      <c r="AW52" s="57">
        <v>20981.310000000201</v>
      </c>
      <c r="AX52" s="57">
        <f>AI52*0.4+AC52*7*0.6</f>
        <v>19093.186000000169</v>
      </c>
      <c r="AY52" s="61">
        <f t="shared" si="48"/>
        <v>2622.6637500000252</v>
      </c>
      <c r="AZ52" s="61">
        <f>IFERROR(VLOOKUP(B52,[3]Sheet2!$E$4:$F$17,2,0),0)</f>
        <v>0</v>
      </c>
      <c r="BA52" s="61">
        <f t="shared" si="69"/>
        <v>2622.6637500000352</v>
      </c>
      <c r="BB52" s="61">
        <f t="shared" si="65"/>
        <v>2209.6366250000101</v>
      </c>
      <c r="BC52" s="61">
        <f t="shared" si="67"/>
        <v>2622.6637500000252</v>
      </c>
      <c r="BD52" s="61">
        <f t="shared" si="66"/>
        <v>2386.6482500000211</v>
      </c>
      <c r="BE52" s="61">
        <f t="shared" si="49"/>
        <v>437.11062500000418</v>
      </c>
      <c r="BF52" s="61">
        <f t="shared" si="50"/>
        <v>437.11062500000588</v>
      </c>
      <c r="BG52" s="61">
        <f t="shared" si="51"/>
        <v>368.27277083333502</v>
      </c>
      <c r="BH52" s="61">
        <f t="shared" si="52"/>
        <v>437.11062500000418</v>
      </c>
      <c r="BI52" s="61">
        <f t="shared" si="53"/>
        <v>397.77470833333683</v>
      </c>
      <c r="BJ52" s="61">
        <f t="shared" si="54"/>
        <v>2.1855531250000211</v>
      </c>
      <c r="BK52" s="61">
        <f t="shared" si="55"/>
        <v>2.1855531250000295</v>
      </c>
      <c r="BL52" s="61">
        <f t="shared" si="56"/>
        <v>1.841363854166675</v>
      </c>
      <c r="BM52" s="61">
        <f t="shared" si="57"/>
        <v>2.1855531250000211</v>
      </c>
      <c r="BN52" s="61">
        <f t="shared" si="58"/>
        <v>1.9888735416666843</v>
      </c>
      <c r="BO52">
        <f t="shared" si="59"/>
        <v>345025.95900000114</v>
      </c>
      <c r="BP52" s="42">
        <f t="shared" si="60"/>
        <v>2386.6482500000211</v>
      </c>
      <c r="BQ52" s="42">
        <f t="shared" si="68"/>
        <v>80</v>
      </c>
      <c r="BR52" s="42">
        <f>ROUNDUP(AL52,-1)</f>
        <v>20</v>
      </c>
      <c r="BS52" s="42">
        <f>ROUNDUP(AM52,-1)</f>
        <v>180</v>
      </c>
      <c r="BT52">
        <f>VLOOKUP($B52,'[4]Food Monitor'!$A$4:$AD$95,16,0)</f>
        <v>200</v>
      </c>
      <c r="BU52">
        <f>VLOOKUP($B52,'[4]Food Monitor'!$A$4:$AD$95,27,0)</f>
        <v>70</v>
      </c>
    </row>
    <row r="53" spans="1:73" ht="16.5" hidden="1">
      <c r="A53" s="51" t="s">
        <v>105</v>
      </c>
      <c r="B53" s="51" t="s">
        <v>224</v>
      </c>
      <c r="C53" s="52" t="s">
        <v>225</v>
      </c>
      <c r="D53" s="51" t="s">
        <v>20</v>
      </c>
      <c r="E53" s="59" t="s">
        <v>20</v>
      </c>
      <c r="F53" s="59" t="s">
        <v>108</v>
      </c>
      <c r="G53" s="63">
        <v>495</v>
      </c>
      <c r="H53" s="61" t="s">
        <v>109</v>
      </c>
      <c r="I53" s="61" t="s">
        <v>128</v>
      </c>
      <c r="J53" s="70">
        <v>269204.63</v>
      </c>
      <c r="K53" s="70">
        <f>J53+14*AB53</f>
        <v>333473.2399999997</v>
      </c>
      <c r="L53" s="71">
        <f t="shared" si="35"/>
        <v>58.642388873822178</v>
      </c>
      <c r="M53" s="71">
        <v>1710</v>
      </c>
      <c r="N53" s="71">
        <v>720</v>
      </c>
      <c r="O53" s="71">
        <v>2112</v>
      </c>
      <c r="P53" s="51">
        <f t="shared" si="36"/>
        <v>20</v>
      </c>
      <c r="Q53" s="73">
        <v>45191</v>
      </c>
      <c r="R53" s="73">
        <v>45211</v>
      </c>
      <c r="S53" s="70">
        <f>VLOOKUP(B53,[1]Sheet7!$H$2:$M$93,5,0)</f>
        <v>477371.81999999803</v>
      </c>
      <c r="T53" s="71">
        <f t="shared" si="37"/>
        <v>125.42612191276879</v>
      </c>
      <c r="U53" s="70">
        <f>VLOOKUP($B53,[1]Sheet7!$H$2:$M$93,4,0)</f>
        <v>327733.26999999868</v>
      </c>
      <c r="V53" s="70">
        <f>VLOOKUP($B53,[1]Sheet7!$H$2:$M$93,2,0)</f>
        <v>113287.03999999969</v>
      </c>
      <c r="W53" s="70">
        <f>VLOOKUP($B53,[1]Sheet7!$H$2:$M$93,3,0)</f>
        <v>36568.389999999978</v>
      </c>
      <c r="X53" s="71">
        <f>VLOOKUP($B53,[1]Sheet8!$D$2:$E$93,2,0)</f>
        <v>3144</v>
      </c>
      <c r="Y53" s="71">
        <f>VLOOKUP($B53,[1]Sheet8!$P$3:$Q$94,2,0)</f>
        <v>4872</v>
      </c>
      <c r="Z53" s="71">
        <f>VLOOKUP($B53,[1]Sheet8!$J$3:$K$94,2,0)</f>
        <v>589</v>
      </c>
      <c r="AA53" s="71">
        <f>VLOOKUP($B53,[1]Sheet7!$H$2:$M$93,6,0)</f>
        <v>60586</v>
      </c>
      <c r="AB53" s="57">
        <v>4590.6149999999798</v>
      </c>
      <c r="AC53" s="57">
        <v>4590.6149999999798</v>
      </c>
      <c r="AD53" s="75">
        <v>0</v>
      </c>
      <c r="AE53" s="57">
        <f t="shared" si="38"/>
        <v>5049.6764999999778</v>
      </c>
      <c r="AF53" s="75">
        <v>1.1000000000000001</v>
      </c>
      <c r="AG53" s="77">
        <f>VLOOKUP($B53,[2]Sheet1!$E$2:$I$96,4,0)</f>
        <v>3806</v>
      </c>
      <c r="AH53" s="77">
        <f>VLOOKUP($B53,[2]Sheet1!$E$2:$I$96,5,0)</f>
        <v>518</v>
      </c>
      <c r="AI53" s="77">
        <f t="shared" si="39"/>
        <v>26642</v>
      </c>
      <c r="AJ53" s="61">
        <f t="shared" si="40"/>
        <v>3626</v>
      </c>
      <c r="AK53" s="61">
        <f>VLOOKUP(B53,[2]Sheet9!$D$2:$F$94,3,0)</f>
        <v>245</v>
      </c>
      <c r="AL53" s="61">
        <f>VLOOKUP(B53,[2]Sheet9!$J$3:$L$95,3,0)</f>
        <v>59</v>
      </c>
      <c r="AM53" s="61">
        <f>VLOOKUP(B53,[2]Sheet9!$P$3:$R$95,3,0)</f>
        <v>291</v>
      </c>
      <c r="AN53" s="70">
        <f t="shared" si="41"/>
        <v>-15361.35999999888</v>
      </c>
      <c r="AO53" s="71">
        <f t="shared" si="42"/>
        <v>0</v>
      </c>
      <c r="AP53" s="71">
        <f t="shared" si="43"/>
        <v>-734</v>
      </c>
      <c r="AQ53" s="71">
        <f t="shared" si="44"/>
        <v>299.57142857142856</v>
      </c>
      <c r="AR53" s="71">
        <f t="shared" si="45"/>
        <v>-1928.5714285714284</v>
      </c>
      <c r="AS53" s="61" t="str">
        <f t="shared" si="46"/>
        <v>Full of Stock Risk</v>
      </c>
      <c r="AT53" s="57">
        <v>32134.304999999898</v>
      </c>
      <c r="AU53" s="57">
        <f>AC53*7</f>
        <v>32134.304999999858</v>
      </c>
      <c r="AV53" s="57">
        <f t="shared" si="47"/>
        <v>28289.691499999957</v>
      </c>
      <c r="AW53" s="57">
        <v>32134.304999999898</v>
      </c>
      <c r="AX53" s="57">
        <f>AI53*0.4+AC53*7*0.6</f>
        <v>29937.382999999914</v>
      </c>
      <c r="AY53" s="61">
        <f t="shared" si="48"/>
        <v>4016.7881249999873</v>
      </c>
      <c r="AZ53" s="61">
        <f>IFERROR(VLOOKUP(B53,[3]Sheet2!$E$4:$F$17,2,0),0)</f>
        <v>0</v>
      </c>
      <c r="BA53" s="61">
        <f t="shared" si="69"/>
        <v>4016.7881249999823</v>
      </c>
      <c r="BB53" s="61">
        <f t="shared" si="65"/>
        <v>3536.2114374999946</v>
      </c>
      <c r="BC53" s="61">
        <f t="shared" si="67"/>
        <v>4016.7881249999873</v>
      </c>
      <c r="BD53" s="61">
        <f t="shared" si="66"/>
        <v>3742.1728749999893</v>
      </c>
      <c r="BE53" s="61">
        <f t="shared" si="49"/>
        <v>669.46468749999792</v>
      </c>
      <c r="BF53" s="61">
        <f t="shared" si="50"/>
        <v>669.46468749999701</v>
      </c>
      <c r="BG53" s="61">
        <f t="shared" si="51"/>
        <v>589.36857291666581</v>
      </c>
      <c r="BH53" s="61">
        <f t="shared" si="52"/>
        <v>669.46468749999792</v>
      </c>
      <c r="BI53" s="61">
        <f t="shared" si="53"/>
        <v>623.69547916666488</v>
      </c>
      <c r="BJ53" s="61">
        <f t="shared" si="54"/>
        <v>3.3473234374999894</v>
      </c>
      <c r="BK53" s="61">
        <f t="shared" si="55"/>
        <v>3.3473234374999854</v>
      </c>
      <c r="BL53" s="61">
        <f t="shared" si="56"/>
        <v>2.9468428645833287</v>
      </c>
      <c r="BM53" s="61">
        <f t="shared" si="57"/>
        <v>3.3473234374999894</v>
      </c>
      <c r="BN53" s="61">
        <f t="shared" si="58"/>
        <v>3.1184773958333243</v>
      </c>
      <c r="BO53">
        <f t="shared" si="59"/>
        <v>452967.82449999836</v>
      </c>
      <c r="BP53" s="42">
        <f t="shared" si="60"/>
        <v>3742.1728749999893</v>
      </c>
      <c r="BQ53" s="42">
        <f t="shared" si="68"/>
        <v>150</v>
      </c>
      <c r="BR53" s="42">
        <f>ROUNDUP(AL53,-1)</f>
        <v>60</v>
      </c>
      <c r="BS53" s="42">
        <f>ROUNDUP(AM53,-1)-100</f>
        <v>200</v>
      </c>
      <c r="BT53">
        <f>VLOOKUP($B53,'[4]Food Monitor'!$A$4:$AD$95,16,0)</f>
        <v>400</v>
      </c>
      <c r="BU53">
        <f>VLOOKUP($B53,'[4]Food Monitor'!$A$4:$AD$95,27,0)</f>
        <v>130</v>
      </c>
    </row>
    <row r="54" spans="1:73" ht="16.5" hidden="1">
      <c r="A54" s="51" t="s">
        <v>105</v>
      </c>
      <c r="B54" s="51" t="s">
        <v>226</v>
      </c>
      <c r="C54" s="52" t="s">
        <v>227</v>
      </c>
      <c r="D54" s="51" t="s">
        <v>11</v>
      </c>
      <c r="E54" s="59" t="s">
        <v>11</v>
      </c>
      <c r="F54" s="59" t="s">
        <v>228</v>
      </c>
      <c r="G54" s="63">
        <v>278</v>
      </c>
      <c r="H54" s="61" t="s">
        <v>109</v>
      </c>
      <c r="I54" s="61" t="s">
        <v>166</v>
      </c>
      <c r="J54" s="70">
        <v>311422.01199999999</v>
      </c>
      <c r="K54" s="70">
        <f>J54+21*AB54</f>
        <v>376685.96200000058</v>
      </c>
      <c r="L54" s="71">
        <f t="shared" si="35"/>
        <v>100.20635055034123</v>
      </c>
      <c r="M54" s="71">
        <v>1080</v>
      </c>
      <c r="N54" s="71">
        <v>360</v>
      </c>
      <c r="O54" s="71">
        <v>2112</v>
      </c>
      <c r="P54" s="51">
        <f t="shared" si="36"/>
        <v>27</v>
      </c>
      <c r="Q54" s="73">
        <v>45191</v>
      </c>
      <c r="R54" s="73">
        <v>45218</v>
      </c>
      <c r="S54" s="70">
        <f>VLOOKUP(B54,[1]Sheet7!$H$2:$M$93,5,0)</f>
        <v>448981.8200000035</v>
      </c>
      <c r="T54" s="71">
        <f t="shared" si="37"/>
        <v>210.09912026205123</v>
      </c>
      <c r="U54" s="70">
        <f>VLOOKUP($B54,[1]Sheet7!$H$2:$M$93,4,0)</f>
        <v>263431.8200000014</v>
      </c>
      <c r="V54" s="70">
        <f>VLOOKUP($B54,[1]Sheet7!$H$2:$M$93,2,0)</f>
        <v>169973.09000000084</v>
      </c>
      <c r="W54" s="70">
        <f>VLOOKUP($B54,[1]Sheet7!$H$2:$M$93,3,0)</f>
        <v>16558.850000000006</v>
      </c>
      <c r="X54" s="71">
        <f>VLOOKUP($B54,[1]Sheet8!$D$2:$E$93,2,0)</f>
        <v>2843</v>
      </c>
      <c r="Y54" s="71">
        <f>VLOOKUP($B54,[1]Sheet8!$P$3:$Q$94,2,0)</f>
        <v>3981</v>
      </c>
      <c r="Z54" s="71">
        <f>VLOOKUP($B54,[1]Sheet8!$J$3:$K$94,2,0)</f>
        <v>407</v>
      </c>
      <c r="AA54" s="71">
        <f>VLOOKUP($B54,[1]Sheet7!$H$2:$M$93,6,0)</f>
        <v>57735</v>
      </c>
      <c r="AB54" s="57">
        <v>3107.8071428571702</v>
      </c>
      <c r="AC54" s="57">
        <v>3107.8071428571702</v>
      </c>
      <c r="AD54" s="75">
        <v>0</v>
      </c>
      <c r="AE54" s="57">
        <f t="shared" si="38"/>
        <v>3418.5878571428875</v>
      </c>
      <c r="AF54" s="75">
        <v>1.1000000000000001</v>
      </c>
      <c r="AG54" s="77">
        <f>VLOOKUP($B54,[2]Sheet1!$E$2:$I$96,4,0)</f>
        <v>2137</v>
      </c>
      <c r="AH54" s="77">
        <f>VLOOKUP($B54,[2]Sheet1!$E$2:$I$96,5,0)</f>
        <v>282</v>
      </c>
      <c r="AI54" s="77">
        <f t="shared" si="39"/>
        <v>14959</v>
      </c>
      <c r="AJ54" s="61">
        <f t="shared" si="40"/>
        <v>1974</v>
      </c>
      <c r="AK54" s="61">
        <f>VLOOKUP(B54,[2]Sheet9!$D$2:$F$94,3,0)</f>
        <v>138</v>
      </c>
      <c r="AL54" s="61">
        <f>VLOOKUP(B54,[2]Sheet9!$J$3:$L$95,3,0)</f>
        <v>22</v>
      </c>
      <c r="AM54" s="61">
        <f>VLOOKUP(B54,[2]Sheet9!$P$3:$R$95,3,0)</f>
        <v>164</v>
      </c>
      <c r="AN54" s="70">
        <f t="shared" si="41"/>
        <v>-7031.9080000023241</v>
      </c>
      <c r="AO54" s="71">
        <f t="shared" si="42"/>
        <v>0</v>
      </c>
      <c r="AP54" s="71">
        <f t="shared" si="43"/>
        <v>-1230.7142857142858</v>
      </c>
      <c r="AQ54" s="71">
        <f t="shared" si="44"/>
        <v>37.85714285714289</v>
      </c>
      <c r="AR54" s="71">
        <f t="shared" si="45"/>
        <v>-1236.4285714285716</v>
      </c>
      <c r="AS54" s="61" t="str">
        <f t="shared" si="46"/>
        <v>Normal</v>
      </c>
      <c r="AT54" s="57">
        <v>21754.650000000202</v>
      </c>
      <c r="AU54" s="57">
        <f>AC54*7</f>
        <v>21754.650000000191</v>
      </c>
      <c r="AV54" s="57">
        <f t="shared" si="47"/>
        <v>16997.695000000058</v>
      </c>
      <c r="AW54" s="57">
        <v>21754.650000000202</v>
      </c>
      <c r="AX54" s="57">
        <f>AI54*0.6+AC54*7*0.4</f>
        <v>17677.260000000075</v>
      </c>
      <c r="AY54" s="61">
        <f t="shared" si="48"/>
        <v>2719.3312500000252</v>
      </c>
      <c r="AZ54" s="61">
        <f>IFERROR(VLOOKUP(B54,[3]Sheet2!$E$4:$F$17,2,0),0)</f>
        <v>0</v>
      </c>
      <c r="BA54" s="61">
        <f t="shared" si="69"/>
        <v>2719.3312500000238</v>
      </c>
      <c r="BB54" s="61">
        <f t="shared" si="65"/>
        <v>2124.7118750000072</v>
      </c>
      <c r="BC54" s="61">
        <f t="shared" si="67"/>
        <v>2719.3312500000252</v>
      </c>
      <c r="BD54" s="61">
        <f t="shared" si="66"/>
        <v>2209.6575000000093</v>
      </c>
      <c r="BE54" s="61">
        <f t="shared" si="49"/>
        <v>453.22187500000422</v>
      </c>
      <c r="BF54" s="61">
        <f t="shared" si="50"/>
        <v>453.22187500000399</v>
      </c>
      <c r="BG54" s="61">
        <f t="shared" si="51"/>
        <v>354.11864583333454</v>
      </c>
      <c r="BH54" s="61">
        <f t="shared" si="52"/>
        <v>453.22187500000422</v>
      </c>
      <c r="BI54" s="61">
        <f t="shared" si="53"/>
        <v>368.27625000000154</v>
      </c>
      <c r="BJ54" s="61">
        <f t="shared" si="54"/>
        <v>2.266109375000021</v>
      </c>
      <c r="BK54" s="61">
        <f t="shared" si="55"/>
        <v>2.2661093750000201</v>
      </c>
      <c r="BL54" s="61">
        <f t="shared" si="56"/>
        <v>1.7705932291666726</v>
      </c>
      <c r="BM54" s="61">
        <f t="shared" si="57"/>
        <v>2.266109375000021</v>
      </c>
      <c r="BN54" s="61">
        <f t="shared" si="58"/>
        <v>1.8413812500000077</v>
      </c>
      <c r="BO54">
        <f t="shared" si="59"/>
        <v>427716.24642857467</v>
      </c>
      <c r="BP54" s="42">
        <f t="shared" si="60"/>
        <v>2209.6575000000093</v>
      </c>
      <c r="BQ54" s="42">
        <f t="shared" si="68"/>
        <v>40</v>
      </c>
      <c r="BR54" s="42">
        <f>ROUNDUP(AL54,-1)</f>
        <v>30</v>
      </c>
      <c r="BS54" s="42">
        <f>ROUNDUP(AM54,-1)-100</f>
        <v>70</v>
      </c>
      <c r="BT54">
        <f>VLOOKUP($B54,'[4]Food Monitor'!$A$4:$AD$95,16,0)</f>
        <v>300</v>
      </c>
      <c r="BU54">
        <f>VLOOKUP($B54,'[4]Food Monitor'!$A$4:$AD$95,27,0)</f>
        <v>70</v>
      </c>
    </row>
    <row r="55" spans="1:73" ht="16.5" hidden="1">
      <c r="A55" s="51" t="s">
        <v>105</v>
      </c>
      <c r="B55" s="51" t="s">
        <v>229</v>
      </c>
      <c r="C55" s="52" t="s">
        <v>230</v>
      </c>
      <c r="D55" s="51" t="s">
        <v>231</v>
      </c>
      <c r="E55" s="59" t="s">
        <v>18</v>
      </c>
      <c r="F55" s="59" t="s">
        <v>18</v>
      </c>
      <c r="G55" s="63">
        <v>389</v>
      </c>
      <c r="H55" s="61" t="s">
        <v>109</v>
      </c>
      <c r="I55" s="61" t="s">
        <v>128</v>
      </c>
      <c r="J55" s="70">
        <v>226283.46</v>
      </c>
      <c r="K55" s="70">
        <f>J55+21*AB55</f>
        <v>290355.97500000079</v>
      </c>
      <c r="L55" s="71">
        <f t="shared" si="35"/>
        <v>74.165227633095753</v>
      </c>
      <c r="M55" s="71">
        <v>1800</v>
      </c>
      <c r="N55" s="71">
        <v>720</v>
      </c>
      <c r="O55" s="71">
        <v>2112</v>
      </c>
      <c r="P55" s="51">
        <f t="shared" si="36"/>
        <v>27</v>
      </c>
      <c r="Q55" s="73">
        <v>45191</v>
      </c>
      <c r="R55" s="73">
        <v>45218</v>
      </c>
      <c r="S55" s="70">
        <f>VLOOKUP(B55,[1]Sheet7!$H$2:$M$93,5,0)</f>
        <v>415879.92000000225</v>
      </c>
      <c r="T55" s="71">
        <f t="shared" si="37"/>
        <v>191.73809128630811</v>
      </c>
      <c r="U55" s="70">
        <f>VLOOKUP($B55,[1]Sheet7!$H$2:$M$93,4,0)</f>
        <v>375049.52000000165</v>
      </c>
      <c r="V55" s="70">
        <f>VLOOKUP($B55,[1]Sheet7!$H$2:$M$93,2,0)</f>
        <v>41773.899999999965</v>
      </c>
      <c r="W55" s="70">
        <f>VLOOKUP($B55,[1]Sheet7!$H$2:$M$93,3,0)</f>
        <v>0</v>
      </c>
      <c r="X55" s="71">
        <f>VLOOKUP($B55,[1]Sheet8!$D$2:$E$93,2,0)</f>
        <v>2760</v>
      </c>
      <c r="Y55" s="71">
        <f>VLOOKUP($B55,[1]Sheet8!$P$3:$Q$94,2,0)</f>
        <v>3151</v>
      </c>
      <c r="Z55" s="71">
        <f>VLOOKUP($B55,[1]Sheet8!$J$3:$K$94,2,0)</f>
        <v>537</v>
      </c>
      <c r="AA55" s="71">
        <f>VLOOKUP($B55,[1]Sheet7!$H$2:$M$93,6,0)</f>
        <v>52704</v>
      </c>
      <c r="AB55" s="57">
        <v>3051.0721428571801</v>
      </c>
      <c r="AC55" s="57">
        <v>3051.0721428571801</v>
      </c>
      <c r="AD55" s="75">
        <v>0</v>
      </c>
      <c r="AE55" s="57">
        <f t="shared" si="38"/>
        <v>3356.1793571428984</v>
      </c>
      <c r="AF55" s="75">
        <v>1.1000000000000001</v>
      </c>
      <c r="AG55" s="77">
        <f>VLOOKUP($B55,[2]Sheet1!$E$2:$I$96,4,0)</f>
        <v>2169</v>
      </c>
      <c r="AH55" s="77">
        <f>VLOOKUP($B55,[2]Sheet1!$E$2:$I$96,5,0)</f>
        <v>318</v>
      </c>
      <c r="AI55" s="77">
        <f t="shared" si="39"/>
        <v>15183</v>
      </c>
      <c r="AJ55" s="61">
        <f t="shared" si="40"/>
        <v>2226</v>
      </c>
      <c r="AK55" s="61">
        <f>VLOOKUP(B55,[2]Sheet9!$D$2:$F$94,3,0)</f>
        <v>147</v>
      </c>
      <c r="AL55" s="61">
        <f>VLOOKUP(B55,[2]Sheet9!$J$3:$L$95,3,0)</f>
        <v>27</v>
      </c>
      <c r="AM55" s="61">
        <f>VLOOKUP(B55,[2]Sheet9!$P$3:$R$95,3,0)</f>
        <v>156</v>
      </c>
      <c r="AN55" s="70">
        <f t="shared" si="41"/>
        <v>-61451.430000000692</v>
      </c>
      <c r="AO55" s="71">
        <f t="shared" si="42"/>
        <v>0</v>
      </c>
      <c r="AP55" s="71">
        <f t="shared" si="43"/>
        <v>-393</v>
      </c>
      <c r="AQ55" s="71">
        <f t="shared" si="44"/>
        <v>287.14285714285711</v>
      </c>
      <c r="AR55" s="71">
        <f t="shared" si="45"/>
        <v>-437.28571428571422</v>
      </c>
      <c r="AS55" s="61" t="str">
        <f t="shared" si="46"/>
        <v>Full of Stock Risk</v>
      </c>
      <c r="AT55" s="57">
        <v>21357.505000000201</v>
      </c>
      <c r="AU55" s="57">
        <f>AG55*7</f>
        <v>15183</v>
      </c>
      <c r="AV55" s="57">
        <f t="shared" si="47"/>
        <v>17035.351500000077</v>
      </c>
      <c r="AW55" s="57">
        <v>21357.505000000201</v>
      </c>
      <c r="AX55" s="57">
        <f>AI55*0.4+AC55*7*0.6</f>
        <v>18887.703000000154</v>
      </c>
      <c r="AY55" s="61">
        <f t="shared" si="48"/>
        <v>2669.6881250000251</v>
      </c>
      <c r="AZ55" s="61">
        <f>IFERROR(VLOOKUP(B55,[3]Sheet2!$E$4:$F$17,2,0),0)</f>
        <v>0</v>
      </c>
      <c r="BA55" s="61">
        <f t="shared" si="69"/>
        <v>1897.875</v>
      </c>
      <c r="BB55" s="61">
        <f t="shared" si="65"/>
        <v>2129.4189375000096</v>
      </c>
      <c r="BC55" s="61">
        <f t="shared" si="67"/>
        <v>2669.6881250000251</v>
      </c>
      <c r="BD55" s="61">
        <f t="shared" si="66"/>
        <v>2360.9628750000193</v>
      </c>
      <c r="BE55" s="61">
        <f t="shared" si="49"/>
        <v>444.94802083333752</v>
      </c>
      <c r="BF55" s="61">
        <f t="shared" si="50"/>
        <v>316.3125</v>
      </c>
      <c r="BG55" s="61">
        <f t="shared" si="51"/>
        <v>354.90315625000159</v>
      </c>
      <c r="BH55" s="61">
        <f t="shared" si="52"/>
        <v>444.94802083333752</v>
      </c>
      <c r="BI55" s="61">
        <f t="shared" si="53"/>
        <v>393.49381250000323</v>
      </c>
      <c r="BJ55" s="61">
        <f t="shared" si="54"/>
        <v>2.2247401041666874</v>
      </c>
      <c r="BK55" s="61">
        <f t="shared" si="55"/>
        <v>1.5815625</v>
      </c>
      <c r="BL55" s="61">
        <f t="shared" si="56"/>
        <v>1.7745157812500081</v>
      </c>
      <c r="BM55" s="61">
        <f t="shared" si="57"/>
        <v>2.2247401041666874</v>
      </c>
      <c r="BN55" s="61">
        <f t="shared" si="58"/>
        <v>1.967469062500016</v>
      </c>
      <c r="BO55">
        <f t="shared" si="59"/>
        <v>390709.17092857289</v>
      </c>
      <c r="BP55" s="42">
        <f t="shared" si="60"/>
        <v>2360.9628750000193</v>
      </c>
      <c r="BQ55" s="42">
        <f t="shared" si="68"/>
        <v>50</v>
      </c>
      <c r="BR55" s="42">
        <f>ROUNDUP(AL55,-1)</f>
        <v>30</v>
      </c>
      <c r="BS55" s="42">
        <f>ROUNDUP(AM55,-1)</f>
        <v>160</v>
      </c>
      <c r="BT55">
        <f>VLOOKUP($B55,'[4]Food Monitor'!$A$4:$AD$95,16,0)</f>
        <v>300</v>
      </c>
      <c r="BU55">
        <f>VLOOKUP($B55,'[4]Food Monitor'!$A$4:$AD$95,27,0)</f>
        <v>90</v>
      </c>
    </row>
    <row r="56" spans="1:73" ht="16.5" hidden="1">
      <c r="A56" s="51" t="s">
        <v>105</v>
      </c>
      <c r="B56" s="51" t="s">
        <v>232</v>
      </c>
      <c r="C56" s="52" t="s">
        <v>233</v>
      </c>
      <c r="D56" s="51" t="s">
        <v>231</v>
      </c>
      <c r="E56" s="59" t="s">
        <v>18</v>
      </c>
      <c r="F56" s="59" t="s">
        <v>18</v>
      </c>
      <c r="G56" s="63">
        <v>371</v>
      </c>
      <c r="H56" s="61" t="s">
        <v>109</v>
      </c>
      <c r="I56" s="61" t="s">
        <v>128</v>
      </c>
      <c r="J56" s="70">
        <v>237423.35999999999</v>
      </c>
      <c r="K56" s="70">
        <f>J56+21*AB56</f>
        <v>307887.33000000037</v>
      </c>
      <c r="L56" s="71">
        <f t="shared" si="35"/>
        <v>70.758013776401953</v>
      </c>
      <c r="M56" s="71">
        <v>1800</v>
      </c>
      <c r="N56" s="71">
        <v>720</v>
      </c>
      <c r="O56" s="71">
        <v>2112</v>
      </c>
      <c r="P56" s="51">
        <f t="shared" si="36"/>
        <v>27</v>
      </c>
      <c r="Q56" s="73">
        <v>45191</v>
      </c>
      <c r="R56" s="73">
        <v>45218</v>
      </c>
      <c r="S56" s="70">
        <f>VLOOKUP(B56,[1]Sheet7!$H$2:$M$93,5,0)</f>
        <v>404966.66000000341</v>
      </c>
      <c r="T56" s="71">
        <f t="shared" si="37"/>
        <v>151.84351706036873</v>
      </c>
      <c r="U56" s="70">
        <f>VLOOKUP($B56,[1]Sheet7!$H$2:$M$93,4,0)</f>
        <v>318619.81000000174</v>
      </c>
      <c r="V56" s="70">
        <f>VLOOKUP($B56,[1]Sheet7!$H$2:$M$93,2,0)</f>
        <v>86701.949999999881</v>
      </c>
      <c r="W56" s="70">
        <f>VLOOKUP($B56,[1]Sheet7!$H$2:$M$93,3,0)</f>
        <v>0</v>
      </c>
      <c r="X56" s="71">
        <f>VLOOKUP($B56,[1]Sheet8!$D$2:$E$93,2,0)</f>
        <v>2844</v>
      </c>
      <c r="Y56" s="71">
        <f>VLOOKUP($B56,[1]Sheet8!$P$3:$Q$94,2,0)</f>
        <v>3362</v>
      </c>
      <c r="Z56" s="71">
        <f>VLOOKUP($B56,[1]Sheet8!$J$3:$K$94,2,0)</f>
        <v>638</v>
      </c>
      <c r="AA56" s="71">
        <f>VLOOKUP($B56,[1]Sheet7!$H$2:$M$93,6,0)</f>
        <v>51794</v>
      </c>
      <c r="AB56" s="57">
        <v>3355.4271428571601</v>
      </c>
      <c r="AC56" s="57">
        <v>3355.4271428571601</v>
      </c>
      <c r="AD56" s="75">
        <v>0</v>
      </c>
      <c r="AE56" s="57">
        <f t="shared" si="38"/>
        <v>3690.9698571428762</v>
      </c>
      <c r="AF56" s="75">
        <v>1.1000000000000001</v>
      </c>
      <c r="AG56" s="77">
        <f>VLOOKUP($B56,[2]Sheet1!$E$2:$I$96,4,0)</f>
        <v>2667</v>
      </c>
      <c r="AH56" s="77">
        <f>VLOOKUP($B56,[2]Sheet1!$E$2:$I$96,5,0)</f>
        <v>351</v>
      </c>
      <c r="AI56" s="77">
        <f t="shared" si="39"/>
        <v>18669</v>
      </c>
      <c r="AJ56" s="61">
        <f t="shared" si="40"/>
        <v>2457</v>
      </c>
      <c r="AK56" s="61">
        <f>VLOOKUP(B56,[2]Sheet9!$D$2:$F$94,3,0)</f>
        <v>202</v>
      </c>
      <c r="AL56" s="61">
        <f>VLOOKUP(B56,[2]Sheet9!$J$3:$L$95,3,0)</f>
        <v>42</v>
      </c>
      <c r="AM56" s="61">
        <f>VLOOKUP(B56,[2]Sheet9!$P$3:$R$95,3,0)</f>
        <v>180</v>
      </c>
      <c r="AN56" s="70">
        <f t="shared" si="41"/>
        <v>-26615.360000002664</v>
      </c>
      <c r="AO56" s="71">
        <f t="shared" si="42"/>
        <v>0</v>
      </c>
      <c r="AP56" s="71">
        <f t="shared" si="43"/>
        <v>-264.85714285714312</v>
      </c>
      <c r="AQ56" s="71">
        <f t="shared" si="44"/>
        <v>244</v>
      </c>
      <c r="AR56" s="71">
        <f t="shared" si="45"/>
        <v>-555.71428571428578</v>
      </c>
      <c r="AS56" s="61" t="str">
        <f t="shared" si="46"/>
        <v>Full of Stock Risk</v>
      </c>
      <c r="AT56" s="57">
        <v>23487.990000000202</v>
      </c>
      <c r="AU56" s="57">
        <f t="shared" ref="AU56:AU63" si="70">AC56*7</f>
        <v>23487.990000000122</v>
      </c>
      <c r="AV56" s="57">
        <f t="shared" si="47"/>
        <v>20114.697000000036</v>
      </c>
      <c r="AW56" s="57">
        <v>23487.990000000202</v>
      </c>
      <c r="AX56" s="57">
        <f>AI56*0.4+AC56*7*0.6</f>
        <v>21560.394000000073</v>
      </c>
      <c r="AY56" s="61">
        <f t="shared" si="48"/>
        <v>2935.9987500000252</v>
      </c>
      <c r="AZ56" s="61">
        <f>IFERROR(VLOOKUP(B56,[3]Sheet2!$E$4:$F$17,2,0),0)</f>
        <v>0</v>
      </c>
      <c r="BA56" s="61">
        <f t="shared" si="69"/>
        <v>2935.9987500000152</v>
      </c>
      <c r="BB56" s="61">
        <f t="shared" si="65"/>
        <v>2514.3371250000046</v>
      </c>
      <c r="BC56" s="61">
        <f t="shared" si="67"/>
        <v>2935.9987500000252</v>
      </c>
      <c r="BD56" s="61">
        <f t="shared" si="66"/>
        <v>2695.0492500000091</v>
      </c>
      <c r="BE56" s="61">
        <f t="shared" si="49"/>
        <v>489.3331250000042</v>
      </c>
      <c r="BF56" s="61">
        <f t="shared" si="50"/>
        <v>489.33312500000255</v>
      </c>
      <c r="BG56" s="61">
        <f t="shared" si="51"/>
        <v>419.05618750000076</v>
      </c>
      <c r="BH56" s="61">
        <f t="shared" si="52"/>
        <v>489.3331250000042</v>
      </c>
      <c r="BI56" s="61">
        <f t="shared" si="53"/>
        <v>449.17487500000152</v>
      </c>
      <c r="BJ56" s="61">
        <f t="shared" si="54"/>
        <v>2.4466656250000209</v>
      </c>
      <c r="BK56" s="61">
        <f t="shared" si="55"/>
        <v>2.4466656250000125</v>
      </c>
      <c r="BL56" s="61">
        <f t="shared" si="56"/>
        <v>2.0952809375000037</v>
      </c>
      <c r="BM56" s="61">
        <f t="shared" si="57"/>
        <v>2.4466656250000209</v>
      </c>
      <c r="BN56" s="61">
        <f t="shared" si="58"/>
        <v>2.2458743750000076</v>
      </c>
      <c r="BO56">
        <f t="shared" si="59"/>
        <v>386244.06242857478</v>
      </c>
      <c r="BP56" s="42">
        <f t="shared" si="60"/>
        <v>2695.0492500000091</v>
      </c>
      <c r="BQ56" s="42">
        <f t="shared" si="68"/>
        <v>110</v>
      </c>
      <c r="BR56" s="42">
        <f>ROUNDUP(AL56,-1)</f>
        <v>50</v>
      </c>
      <c r="BS56" s="42">
        <f>ROUNDUP(AM56,-1)-50</f>
        <v>130</v>
      </c>
      <c r="BT56">
        <f>VLOOKUP($B56,'[4]Food Monitor'!$A$4:$AD$95,16,0)</f>
        <v>200</v>
      </c>
      <c r="BU56">
        <f>VLOOKUP($B56,'[4]Food Monitor'!$A$4:$AD$95,27,0)</f>
        <v>100</v>
      </c>
    </row>
    <row r="57" spans="1:73" ht="16.5" hidden="1">
      <c r="A57" s="51" t="s">
        <v>105</v>
      </c>
      <c r="B57" s="51" t="s">
        <v>234</v>
      </c>
      <c r="C57" s="52" t="s">
        <v>235</v>
      </c>
      <c r="D57" s="51" t="s">
        <v>231</v>
      </c>
      <c r="E57" s="59" t="s">
        <v>18</v>
      </c>
      <c r="F57" s="59" t="s">
        <v>18</v>
      </c>
      <c r="G57" s="63">
        <v>338.07401700000003</v>
      </c>
      <c r="H57" s="61" t="s">
        <v>121</v>
      </c>
      <c r="I57" s="61" t="s">
        <v>128</v>
      </c>
      <c r="J57" s="70">
        <v>194024.8</v>
      </c>
      <c r="K57" s="70">
        <f>J57+21*AB57</f>
        <v>244708.67500000173</v>
      </c>
      <c r="L57" s="71">
        <f t="shared" si="35"/>
        <v>80.390869877251092</v>
      </c>
      <c r="M57" s="71">
        <v>1260</v>
      </c>
      <c r="N57" s="71">
        <v>360</v>
      </c>
      <c r="O57" s="71">
        <v>1408</v>
      </c>
      <c r="P57" s="51">
        <f t="shared" si="36"/>
        <v>27</v>
      </c>
      <c r="Q57" s="73">
        <v>45191</v>
      </c>
      <c r="R57" s="73">
        <v>45218</v>
      </c>
      <c r="S57" s="70">
        <f>VLOOKUP(B57,[1]Sheet7!$H$2:$M$93,5,0)</f>
        <v>308941.78000000253</v>
      </c>
      <c r="T57" s="71">
        <f t="shared" si="37"/>
        <v>144.83909048288913</v>
      </c>
      <c r="U57" s="70">
        <f>VLOOKUP($B57,[1]Sheet7!$H$2:$M$93,4,0)</f>
        <v>209911.33000000051</v>
      </c>
      <c r="V57" s="70">
        <f>VLOOKUP($B57,[1]Sheet7!$H$2:$M$93,2,0)</f>
        <v>99302.009999999806</v>
      </c>
      <c r="W57" s="70">
        <f>VLOOKUP($B57,[1]Sheet7!$H$2:$M$93,3,0)</f>
        <v>0</v>
      </c>
      <c r="X57" s="71">
        <f>VLOOKUP($B57,[1]Sheet8!$D$2:$E$93,2,0)</f>
        <v>1982</v>
      </c>
      <c r="Y57" s="71">
        <f>VLOOKUP($B57,[1]Sheet8!$P$3:$Q$94,2,0)</f>
        <v>2656</v>
      </c>
      <c r="Z57" s="71">
        <f>VLOOKUP($B57,[1]Sheet8!$J$3:$K$94,2,0)</f>
        <v>480</v>
      </c>
      <c r="AA57" s="71">
        <f>VLOOKUP($B57,[1]Sheet7!$H$2:$M$93,6,0)</f>
        <v>38069</v>
      </c>
      <c r="AB57" s="57">
        <v>2413.5178571429401</v>
      </c>
      <c r="AC57" s="57">
        <v>2413.5178571429401</v>
      </c>
      <c r="AD57" s="75">
        <v>0</v>
      </c>
      <c r="AE57" s="57">
        <f t="shared" si="38"/>
        <v>2654.8696428572343</v>
      </c>
      <c r="AF57" s="75">
        <v>1.1000000000000001</v>
      </c>
      <c r="AG57" s="77">
        <f>VLOOKUP($B57,[2]Sheet1!$E$2:$I$96,4,0)</f>
        <v>2133</v>
      </c>
      <c r="AH57" s="77">
        <f>VLOOKUP($B57,[2]Sheet1!$E$2:$I$96,5,0)</f>
        <v>304</v>
      </c>
      <c r="AI57" s="77">
        <f t="shared" si="39"/>
        <v>14931</v>
      </c>
      <c r="AJ57" s="61">
        <f t="shared" si="40"/>
        <v>2128</v>
      </c>
      <c r="AK57" s="61">
        <f>VLOOKUP(B57,[2]Sheet9!$D$2:$F$94,3,0)</f>
        <v>120</v>
      </c>
      <c r="AL57" s="61">
        <f>VLOOKUP(B57,[2]Sheet9!$J$3:$L$95,3,0)</f>
        <v>31</v>
      </c>
      <c r="AM57" s="61">
        <f>VLOOKUP(B57,[2]Sheet9!$P$3:$R$95,3,0)</f>
        <v>141</v>
      </c>
      <c r="AN57" s="70">
        <f t="shared" si="41"/>
        <v>-13549.229999999108</v>
      </c>
      <c r="AO57" s="71">
        <f t="shared" si="42"/>
        <v>0</v>
      </c>
      <c r="AP57" s="71">
        <f t="shared" si="43"/>
        <v>-259.14285714285711</v>
      </c>
      <c r="AQ57" s="71">
        <f t="shared" si="44"/>
        <v>-0.42857142857144481</v>
      </c>
      <c r="AR57" s="71">
        <f t="shared" si="45"/>
        <v>-704.14285714285711</v>
      </c>
      <c r="AS57" s="61" t="str">
        <f t="shared" si="46"/>
        <v>Normal</v>
      </c>
      <c r="AT57" s="57">
        <v>16894.625000000498</v>
      </c>
      <c r="AU57" s="57">
        <f t="shared" si="70"/>
        <v>16894.625000000582</v>
      </c>
      <c r="AV57" s="57">
        <f t="shared" si="47"/>
        <v>15520.087500000172</v>
      </c>
      <c r="AW57" s="57">
        <v>16894.625000000498</v>
      </c>
      <c r="AX57" s="57">
        <f>AI57*1.17</f>
        <v>17469.27</v>
      </c>
      <c r="AY57" s="61">
        <f t="shared" si="48"/>
        <v>2111.8281250000623</v>
      </c>
      <c r="AZ57" s="61">
        <f>IFERROR(VLOOKUP(B57,[3]Sheet2!$E$4:$F$17,2,0),0)</f>
        <v>0</v>
      </c>
      <c r="BA57" s="61">
        <f t="shared" si="69"/>
        <v>2111.8281250000728</v>
      </c>
      <c r="BB57" s="61">
        <f t="shared" si="65"/>
        <v>1940.0109375000216</v>
      </c>
      <c r="BC57" s="61">
        <f t="shared" si="67"/>
        <v>2111.8281250000623</v>
      </c>
      <c r="BD57" s="61">
        <f t="shared" si="66"/>
        <v>2183.6587500000001</v>
      </c>
      <c r="BE57" s="61">
        <f t="shared" si="49"/>
        <v>351.97135416667703</v>
      </c>
      <c r="BF57" s="61">
        <f t="shared" si="50"/>
        <v>351.97135416667879</v>
      </c>
      <c r="BG57" s="61">
        <f t="shared" si="51"/>
        <v>323.33515625000359</v>
      </c>
      <c r="BH57" s="61">
        <f t="shared" si="52"/>
        <v>351.97135416667703</v>
      </c>
      <c r="BI57" s="61">
        <f t="shared" si="53"/>
        <v>363.94312500000001</v>
      </c>
      <c r="BJ57" s="61">
        <f t="shared" si="54"/>
        <v>1.7598567708333852</v>
      </c>
      <c r="BK57" s="61">
        <f t="shared" si="55"/>
        <v>1.7598567708333939</v>
      </c>
      <c r="BL57" s="61">
        <f t="shared" si="56"/>
        <v>1.6166757812500179</v>
      </c>
      <c r="BM57" s="61">
        <f t="shared" si="57"/>
        <v>1.7598567708333852</v>
      </c>
      <c r="BN57" s="61">
        <f t="shared" si="58"/>
        <v>1.8197156249999999</v>
      </c>
      <c r="BO57">
        <f t="shared" si="59"/>
        <v>298487.81607142964</v>
      </c>
      <c r="BP57" s="42">
        <f t="shared" si="60"/>
        <v>2183.6587500000001</v>
      </c>
      <c r="BQ57" s="42">
        <f t="shared" si="68"/>
        <v>20</v>
      </c>
      <c r="BR57" s="42">
        <f>ROUNDUP(AL57,-1)-20</f>
        <v>20</v>
      </c>
      <c r="BS57" s="42">
        <f>ROUNDUP(AM57,-1)-100</f>
        <v>50</v>
      </c>
      <c r="BT57">
        <f>VLOOKUP($B57,'[4]Food Monitor'!$A$4:$AD$95,16,0)</f>
        <v>300</v>
      </c>
      <c r="BU57">
        <f>VLOOKUP($B57,'[4]Food Monitor'!$A$4:$AD$95,27,0)</f>
        <v>140</v>
      </c>
    </row>
    <row r="58" spans="1:73" ht="16.5" hidden="1">
      <c r="A58" s="51" t="s">
        <v>105</v>
      </c>
      <c r="B58" s="51" t="s">
        <v>236</v>
      </c>
      <c r="C58" s="52" t="s">
        <v>237</v>
      </c>
      <c r="D58" s="51" t="s">
        <v>20</v>
      </c>
      <c r="E58" s="59" t="s">
        <v>20</v>
      </c>
      <c r="F58" s="59" t="s">
        <v>108</v>
      </c>
      <c r="G58" s="63">
        <v>357</v>
      </c>
      <c r="H58" s="61" t="s">
        <v>116</v>
      </c>
      <c r="I58" s="61" t="s">
        <v>151</v>
      </c>
      <c r="J58" s="70">
        <v>342824.94</v>
      </c>
      <c r="K58" s="70">
        <f>J58+14*AB58</f>
        <v>445747.34000000602</v>
      </c>
      <c r="L58" s="71">
        <f t="shared" si="35"/>
        <v>46.632697644047546</v>
      </c>
      <c r="M58" s="71">
        <v>1260</v>
      </c>
      <c r="N58" s="71">
        <v>720</v>
      </c>
      <c r="O58" s="71">
        <v>3168</v>
      </c>
      <c r="P58" s="51">
        <f t="shared" si="36"/>
        <v>20</v>
      </c>
      <c r="Q58" s="73">
        <v>45191</v>
      </c>
      <c r="R58" s="73">
        <v>45211</v>
      </c>
      <c r="S58" s="70">
        <f>VLOOKUP(B58,[1]Sheet7!$H$2:$M$93,5,0)</f>
        <v>507023.26999999868</v>
      </c>
      <c r="T58" s="71">
        <f t="shared" si="37"/>
        <v>87.735468074061032</v>
      </c>
      <c r="U58" s="70">
        <f>VLOOKUP($B58,[1]Sheet7!$H$2:$M$93,4,0)</f>
        <v>433652.38999999687</v>
      </c>
      <c r="V58" s="70">
        <f>VLOOKUP($B58,[1]Sheet7!$H$2:$M$93,2,0)</f>
        <v>73625.520000000019</v>
      </c>
      <c r="W58" s="70">
        <f>VLOOKUP($B58,[1]Sheet7!$H$2:$M$93,3,0)</f>
        <v>0</v>
      </c>
      <c r="X58" s="71">
        <f>VLOOKUP($B58,[1]Sheet8!$D$2:$E$93,2,0)</f>
        <v>3118</v>
      </c>
      <c r="Y58" s="71">
        <f>VLOOKUP($B58,[1]Sheet8!$P$3:$Q$94,2,0)</f>
        <v>5570</v>
      </c>
      <c r="Z58" s="71">
        <f>VLOOKUP($B58,[1]Sheet8!$J$3:$K$94,2,0)</f>
        <v>790</v>
      </c>
      <c r="AA58" s="71">
        <f>VLOOKUP($B58,[1]Sheet7!$H$2:$M$93,6,0)</f>
        <v>65404</v>
      </c>
      <c r="AB58" s="57">
        <v>7351.6000000004296</v>
      </c>
      <c r="AC58" s="57">
        <v>7351.6000000004296</v>
      </c>
      <c r="AD58" s="75">
        <v>0</v>
      </c>
      <c r="AE58" s="57">
        <f t="shared" si="38"/>
        <v>8086.7600000004732</v>
      </c>
      <c r="AF58" s="75">
        <v>1.1000000000000001</v>
      </c>
      <c r="AG58" s="77">
        <f>VLOOKUP($B58,[2]Sheet1!$E$2:$I$96,4,0)</f>
        <v>5779</v>
      </c>
      <c r="AH58" s="77">
        <f>VLOOKUP($B58,[2]Sheet1!$E$2:$I$96,5,0)</f>
        <v>801</v>
      </c>
      <c r="AI58" s="77">
        <f t="shared" si="39"/>
        <v>40453</v>
      </c>
      <c r="AJ58" s="61">
        <f t="shared" si="40"/>
        <v>5607</v>
      </c>
      <c r="AK58" s="61">
        <f>VLOOKUP(B58,[2]Sheet9!$D$2:$F$94,3,0)</f>
        <v>357</v>
      </c>
      <c r="AL58" s="61">
        <f>VLOOKUP(B58,[2]Sheet9!$J$3:$L$95,3,0)</f>
        <v>97</v>
      </c>
      <c r="AM58" s="61">
        <f>VLOOKUP(B58,[2]Sheet9!$P$3:$R$95,3,0)</f>
        <v>453</v>
      </c>
      <c r="AN58" s="70">
        <f t="shared" si="41"/>
        <v>144568.87000001938</v>
      </c>
      <c r="AO58" s="71">
        <f t="shared" si="42"/>
        <v>18071.108750002422</v>
      </c>
      <c r="AP58" s="71">
        <f t="shared" si="43"/>
        <v>-838</v>
      </c>
      <c r="AQ58" s="71">
        <f t="shared" si="44"/>
        <v>207.14285714285711</v>
      </c>
      <c r="AR58" s="71">
        <f t="shared" si="45"/>
        <v>-1107.7142857142862</v>
      </c>
      <c r="AS58" s="61" t="str">
        <f t="shared" si="46"/>
        <v>Out of Stock Risk</v>
      </c>
      <c r="AT58" s="57">
        <v>51461.200000003002</v>
      </c>
      <c r="AU58" s="57">
        <f t="shared" si="70"/>
        <v>51461.200000003009</v>
      </c>
      <c r="AV58" s="57">
        <f t="shared" si="47"/>
        <v>43755.460000000901</v>
      </c>
      <c r="AW58" s="57">
        <v>51461.200000003002</v>
      </c>
      <c r="AX58" s="57">
        <f>AI58*0.4+AC58*7*0.6</f>
        <v>47057.920000001803</v>
      </c>
      <c r="AY58" s="61">
        <f t="shared" si="48"/>
        <v>6432.6500000003753</v>
      </c>
      <c r="AZ58" s="61">
        <f>IFERROR(VLOOKUP(B58,[3]Sheet2!$E$4:$F$17,2,0),0)</f>
        <v>584</v>
      </c>
      <c r="BA58" s="61">
        <f>AU58/8-AZ58</f>
        <v>5848.6500000003762</v>
      </c>
      <c r="BB58" s="61">
        <f t="shared" si="65"/>
        <v>5469.4325000001127</v>
      </c>
      <c r="BC58" s="61">
        <f t="shared" si="67"/>
        <v>6432.6500000003753</v>
      </c>
      <c r="BD58" s="61">
        <f t="shared" si="66"/>
        <v>5882.2400000002253</v>
      </c>
      <c r="BE58" s="61">
        <f t="shared" si="49"/>
        <v>1072.1083333333959</v>
      </c>
      <c r="BF58" s="61">
        <f t="shared" si="50"/>
        <v>974.77500000006273</v>
      </c>
      <c r="BG58" s="61">
        <f t="shared" si="51"/>
        <v>911.57208333335211</v>
      </c>
      <c r="BH58" s="61">
        <f t="shared" si="52"/>
        <v>1072.1083333333959</v>
      </c>
      <c r="BI58" s="61">
        <f t="shared" si="53"/>
        <v>883.04000000003759</v>
      </c>
      <c r="BJ58" s="61">
        <f t="shared" si="54"/>
        <v>5.360541666666979</v>
      </c>
      <c r="BK58" s="61">
        <f t="shared" si="55"/>
        <v>4.8738750000003135</v>
      </c>
      <c r="BL58" s="61">
        <f t="shared" si="56"/>
        <v>4.5578604166667605</v>
      </c>
      <c r="BM58" s="61">
        <f t="shared" si="57"/>
        <v>5.360541666666979</v>
      </c>
      <c r="BN58" s="61">
        <f t="shared" si="58"/>
        <v>4.4152000000001879</v>
      </c>
      <c r="BO58">
        <f t="shared" si="59"/>
        <v>465507.84999999369</v>
      </c>
      <c r="BP58" s="42">
        <f t="shared" si="60"/>
        <v>5298.2400000002253</v>
      </c>
      <c r="BQ58" s="42">
        <f t="shared" si="68"/>
        <v>260</v>
      </c>
      <c r="BR58" s="42">
        <f>ROUNDUP(AL58,-1)</f>
        <v>100</v>
      </c>
      <c r="BS58" s="42">
        <f>ROUNDUP(AM58,-1)-100</f>
        <v>360</v>
      </c>
      <c r="BT58">
        <f>VLOOKUP($B58,'[4]Food Monitor'!$A$4:$AD$95,16,0)</f>
        <v>500</v>
      </c>
      <c r="BU58">
        <f>VLOOKUP($B58,'[4]Food Monitor'!$A$4:$AD$95,27,0)</f>
        <v>160</v>
      </c>
    </row>
    <row r="59" spans="1:73" ht="16.5" hidden="1">
      <c r="A59" s="51" t="s">
        <v>105</v>
      </c>
      <c r="B59" s="51" t="s">
        <v>238</v>
      </c>
      <c r="C59" s="52" t="s">
        <v>239</v>
      </c>
      <c r="D59" s="51" t="s">
        <v>20</v>
      </c>
      <c r="E59" s="59" t="s">
        <v>20</v>
      </c>
      <c r="F59" s="59" t="s">
        <v>108</v>
      </c>
      <c r="G59" s="63">
        <v>390</v>
      </c>
      <c r="H59" s="61" t="s">
        <v>109</v>
      </c>
      <c r="I59" s="61" t="s">
        <v>151</v>
      </c>
      <c r="J59" s="70">
        <v>226693.97</v>
      </c>
      <c r="K59" s="70">
        <f>J59+14*AB59</f>
        <v>267905.54000000039</v>
      </c>
      <c r="L59" s="71">
        <f t="shared" si="35"/>
        <v>77.010305115771359</v>
      </c>
      <c r="M59" s="71">
        <v>1440</v>
      </c>
      <c r="N59" s="71">
        <v>540</v>
      </c>
      <c r="O59" s="71">
        <v>2112</v>
      </c>
      <c r="P59" s="51">
        <f t="shared" si="36"/>
        <v>20</v>
      </c>
      <c r="Q59" s="73">
        <v>45191</v>
      </c>
      <c r="R59" s="73">
        <v>45211</v>
      </c>
      <c r="S59" s="70">
        <f>VLOOKUP(B59,[1]Sheet7!$H$2:$M$93,5,0)</f>
        <v>324464.25000000105</v>
      </c>
      <c r="T59" s="71">
        <f t="shared" si="37"/>
        <v>119.77270210409785</v>
      </c>
      <c r="U59" s="70">
        <f>VLOOKUP($B59,[1]Sheet7!$H$2:$M$93,4,0)</f>
        <v>308465.60000000068</v>
      </c>
      <c r="V59" s="70">
        <f>VLOOKUP($B59,[1]Sheet7!$H$2:$M$93,2,0)</f>
        <v>16188.179999999995</v>
      </c>
      <c r="W59" s="70">
        <f>VLOOKUP($B59,[1]Sheet7!$H$2:$M$93,3,0)</f>
        <v>0</v>
      </c>
      <c r="X59" s="71">
        <f>VLOOKUP($B59,[1]Sheet8!$D$2:$E$93,2,0)</f>
        <v>1895</v>
      </c>
      <c r="Y59" s="71">
        <f>VLOOKUP($B59,[1]Sheet8!$P$3:$Q$94,2,0)</f>
        <v>3585</v>
      </c>
      <c r="Z59" s="71">
        <f>VLOOKUP($B59,[1]Sheet8!$J$3:$K$94,2,0)</f>
        <v>468</v>
      </c>
      <c r="AA59" s="71">
        <f>VLOOKUP($B59,[1]Sheet7!$H$2:$M$93,6,0)</f>
        <v>41298</v>
      </c>
      <c r="AB59" s="57">
        <v>2943.6835714285999</v>
      </c>
      <c r="AC59" s="57">
        <v>2943.6835714285999</v>
      </c>
      <c r="AD59" s="75">
        <v>0</v>
      </c>
      <c r="AE59" s="57">
        <f t="shared" si="38"/>
        <v>3238.0519285714599</v>
      </c>
      <c r="AF59" s="75">
        <v>1.1000000000000001</v>
      </c>
      <c r="AG59" s="77">
        <f>VLOOKUP($B59,[2]Sheet1!$E$2:$I$96,4,0)</f>
        <v>2709</v>
      </c>
      <c r="AH59" s="77">
        <f>VLOOKUP($B59,[2]Sheet1!$E$2:$I$96,5,0)</f>
        <v>374</v>
      </c>
      <c r="AI59" s="77">
        <f t="shared" si="39"/>
        <v>18963</v>
      </c>
      <c r="AJ59" s="61">
        <f t="shared" si="40"/>
        <v>2618</v>
      </c>
      <c r="AK59" s="61">
        <f>VLOOKUP(B59,[2]Sheet9!$D$2:$F$94,3,0)</f>
        <v>168</v>
      </c>
      <c r="AL59" s="61">
        <f>VLOOKUP(B59,[2]Sheet9!$J$3:$L$95,3,0)</f>
        <v>49</v>
      </c>
      <c r="AM59" s="61">
        <f>VLOOKUP(B59,[2]Sheet9!$P$3:$R$95,3,0)</f>
        <v>246</v>
      </c>
      <c r="AN59" s="70">
        <f t="shared" si="41"/>
        <v>25864.430000000109</v>
      </c>
      <c r="AO59" s="71">
        <f t="shared" si="42"/>
        <v>3233.0537500000137</v>
      </c>
      <c r="AP59" s="71">
        <f t="shared" si="43"/>
        <v>25</v>
      </c>
      <c r="AQ59" s="71">
        <f t="shared" si="44"/>
        <v>212</v>
      </c>
      <c r="AR59" s="71">
        <f t="shared" si="45"/>
        <v>-770.14285714285688</v>
      </c>
      <c r="AS59" s="61" t="str">
        <f t="shared" si="46"/>
        <v>Out of Stock Risk</v>
      </c>
      <c r="AT59" s="57">
        <v>20605.7850000002</v>
      </c>
      <c r="AU59" s="57">
        <f t="shared" si="70"/>
        <v>20605.7850000002</v>
      </c>
      <c r="AV59" s="57">
        <f t="shared" si="47"/>
        <v>19455.835500000059</v>
      </c>
      <c r="AW59" s="57">
        <v>20605.7850000002</v>
      </c>
      <c r="AX59" s="57">
        <f>AI59*1.17</f>
        <v>22186.71</v>
      </c>
      <c r="AY59" s="61">
        <f t="shared" si="48"/>
        <v>2575.723125000025</v>
      </c>
      <c r="AZ59" s="61">
        <f>IFERROR(VLOOKUP(B59,[3]Sheet2!$E$4:$F$17,2,0),0)</f>
        <v>0</v>
      </c>
      <c r="BA59" s="61">
        <f>AU59/8</f>
        <v>2575.723125000025</v>
      </c>
      <c r="BB59" s="61">
        <f t="shared" si="65"/>
        <v>2431.9794375000074</v>
      </c>
      <c r="BC59" s="61">
        <f t="shared" si="67"/>
        <v>2575.723125000025</v>
      </c>
      <c r="BD59" s="61">
        <f t="shared" si="66"/>
        <v>2773.3387499999999</v>
      </c>
      <c r="BE59" s="61">
        <f t="shared" si="49"/>
        <v>429.28718750000417</v>
      </c>
      <c r="BF59" s="61">
        <f t="shared" si="50"/>
        <v>429.28718750000417</v>
      </c>
      <c r="BG59" s="61">
        <f t="shared" si="51"/>
        <v>405.32990625000122</v>
      </c>
      <c r="BH59" s="61">
        <f t="shared" si="52"/>
        <v>429.28718750000417</v>
      </c>
      <c r="BI59" s="61">
        <f t="shared" si="53"/>
        <v>462.22312499999998</v>
      </c>
      <c r="BJ59" s="61">
        <f t="shared" si="54"/>
        <v>2.146435937500021</v>
      </c>
      <c r="BK59" s="61">
        <f t="shared" si="55"/>
        <v>2.146435937500021</v>
      </c>
      <c r="BL59" s="61">
        <f t="shared" si="56"/>
        <v>2.0266495312500061</v>
      </c>
      <c r="BM59" s="61">
        <f t="shared" si="57"/>
        <v>2.146435937500021</v>
      </c>
      <c r="BN59" s="61">
        <f t="shared" si="58"/>
        <v>2.3111156249999998</v>
      </c>
      <c r="BO59">
        <f t="shared" si="59"/>
        <v>313120.49121428636</v>
      </c>
      <c r="BP59" s="42">
        <f t="shared" si="60"/>
        <v>2773.3387499999999</v>
      </c>
      <c r="BQ59" s="42">
        <f>ROUNDUP(AK59,-1)-50</f>
        <v>120</v>
      </c>
      <c r="BR59" s="42">
        <f>ROUNDUP(AL59,-1)</f>
        <v>50</v>
      </c>
      <c r="BS59" s="42">
        <f>ROUNDUP(AM59,-1)-100</f>
        <v>150</v>
      </c>
      <c r="BT59">
        <f>VLOOKUP($B59,'[4]Food Monitor'!$A$4:$AD$95,16,0)</f>
        <v>300</v>
      </c>
      <c r="BU59">
        <f>VLOOKUP($B59,'[4]Food Monitor'!$A$4:$AD$95,27,0)</f>
        <v>90</v>
      </c>
    </row>
    <row r="60" spans="1:73" ht="16.5" hidden="1">
      <c r="A60" s="51" t="s">
        <v>105</v>
      </c>
      <c r="B60" s="51" t="s">
        <v>240</v>
      </c>
      <c r="C60" s="52" t="s">
        <v>241</v>
      </c>
      <c r="D60" s="51" t="s">
        <v>20</v>
      </c>
      <c r="E60" s="59" t="s">
        <v>20</v>
      </c>
      <c r="F60" s="59" t="s">
        <v>108</v>
      </c>
      <c r="G60" s="63">
        <v>309</v>
      </c>
      <c r="H60" s="61" t="s">
        <v>109</v>
      </c>
      <c r="I60" s="61" t="s">
        <v>151</v>
      </c>
      <c r="J60" s="70">
        <v>249368.93</v>
      </c>
      <c r="K60" s="70">
        <f>J60+14*AB60</f>
        <v>318152.7300000001</v>
      </c>
      <c r="L60" s="71">
        <f t="shared" si="35"/>
        <v>50.755628796315328</v>
      </c>
      <c r="M60" s="71">
        <v>990</v>
      </c>
      <c r="N60" s="71">
        <v>720</v>
      </c>
      <c r="O60" s="71">
        <v>2112</v>
      </c>
      <c r="P60" s="51">
        <f t="shared" si="36"/>
        <v>20</v>
      </c>
      <c r="Q60" s="73">
        <v>45191</v>
      </c>
      <c r="R60" s="73">
        <v>45211</v>
      </c>
      <c r="S60" s="70">
        <f>VLOOKUP(B60,[1]Sheet7!$H$2:$M$93,5,0)</f>
        <v>412695.51000000321</v>
      </c>
      <c r="T60" s="71">
        <f t="shared" si="37"/>
        <v>116.84470838052187</v>
      </c>
      <c r="U60" s="70">
        <f>VLOOKUP($B60,[1]Sheet7!$H$2:$M$93,4,0)</f>
        <v>276820.89999999997</v>
      </c>
      <c r="V60" s="70">
        <f>VLOOKUP($B60,[1]Sheet7!$H$2:$M$93,2,0)</f>
        <v>85770.259999999762</v>
      </c>
      <c r="W60" s="70">
        <f>VLOOKUP($B60,[1]Sheet7!$H$2:$M$93,3,0)</f>
        <v>50392.409999999931</v>
      </c>
      <c r="X60" s="71">
        <f>VLOOKUP($B60,[1]Sheet8!$D$2:$E$93,2,0)</f>
        <v>2530</v>
      </c>
      <c r="Y60" s="71">
        <f>VLOOKUP($B60,[1]Sheet8!$P$3:$Q$94,2,0)</f>
        <v>4319</v>
      </c>
      <c r="Z60" s="71">
        <f>VLOOKUP($B60,[1]Sheet8!$J$3:$K$94,2,0)</f>
        <v>582</v>
      </c>
      <c r="AA60" s="71">
        <f>VLOOKUP($B60,[1]Sheet7!$H$2:$M$93,6,0)</f>
        <v>52671</v>
      </c>
      <c r="AB60" s="57">
        <v>4913.1285714285796</v>
      </c>
      <c r="AC60" s="57">
        <v>4913.1285714285796</v>
      </c>
      <c r="AD60" s="75">
        <v>0</v>
      </c>
      <c r="AE60" s="57">
        <f t="shared" si="38"/>
        <v>5404.4414285714383</v>
      </c>
      <c r="AF60" s="75">
        <v>1.1000000000000001</v>
      </c>
      <c r="AG60" s="77">
        <f>VLOOKUP($B60,[2]Sheet1!$E$2:$I$96,4,0)</f>
        <v>3532</v>
      </c>
      <c r="AH60" s="77">
        <f>VLOOKUP($B60,[2]Sheet1!$E$2:$I$96,5,0)</f>
        <v>499</v>
      </c>
      <c r="AI60" s="77">
        <f t="shared" si="39"/>
        <v>24724</v>
      </c>
      <c r="AJ60" s="61">
        <f t="shared" si="40"/>
        <v>3493</v>
      </c>
      <c r="AK60" s="61">
        <f>VLOOKUP(B60,[2]Sheet9!$D$2:$F$94,3,0)</f>
        <v>208</v>
      </c>
      <c r="AL60" s="61">
        <f>VLOOKUP(B60,[2]Sheet9!$J$3:$L$95,3,0)</f>
        <v>75</v>
      </c>
      <c r="AM60" s="61">
        <f>VLOOKUP(B60,[2]Sheet9!$P$3:$R$95,3,0)</f>
        <v>305</v>
      </c>
      <c r="AN60" s="70">
        <f t="shared" si="41"/>
        <v>43024.819999997097</v>
      </c>
      <c r="AO60" s="71">
        <f t="shared" si="42"/>
        <v>5378.1024999996371</v>
      </c>
      <c r="AP60" s="71">
        <f t="shared" si="43"/>
        <v>-945.71428571428578</v>
      </c>
      <c r="AQ60" s="71">
        <f t="shared" si="44"/>
        <v>352.28571428571422</v>
      </c>
      <c r="AR60" s="71">
        <f t="shared" si="45"/>
        <v>-1335.5714285714284</v>
      </c>
      <c r="AS60" s="61" t="str">
        <f t="shared" si="46"/>
        <v>Out of Stock Risk</v>
      </c>
      <c r="AT60" s="57">
        <v>34391.900000000103</v>
      </c>
      <c r="AU60" s="57">
        <f t="shared" si="70"/>
        <v>34391.90000000006</v>
      </c>
      <c r="AV60" s="57">
        <f t="shared" si="47"/>
        <v>27624.370000000017</v>
      </c>
      <c r="AW60" s="57">
        <v>34391.900000000103</v>
      </c>
      <c r="AX60" s="57">
        <f>AI60*0.6+AC60*7*0.4</f>
        <v>28591.160000000025</v>
      </c>
      <c r="AY60" s="61">
        <f t="shared" si="48"/>
        <v>4298.9875000000129</v>
      </c>
      <c r="AZ60" s="61">
        <f>IFERROR(VLOOKUP(B60,[3]Sheet2!$E$4:$F$17,2,0),0)</f>
        <v>0</v>
      </c>
      <c r="BA60" s="61">
        <f>AU60/8</f>
        <v>4298.9875000000075</v>
      </c>
      <c r="BB60" s="61">
        <f t="shared" si="65"/>
        <v>3453.0462500000021</v>
      </c>
      <c r="BC60" s="61">
        <f t="shared" si="67"/>
        <v>4298.9875000000129</v>
      </c>
      <c r="BD60" s="61">
        <f t="shared" si="66"/>
        <v>3573.8950000000032</v>
      </c>
      <c r="BE60" s="61">
        <f t="shared" si="49"/>
        <v>716.49791666666886</v>
      </c>
      <c r="BF60" s="61">
        <f t="shared" si="50"/>
        <v>716.49791666666795</v>
      </c>
      <c r="BG60" s="61">
        <f t="shared" si="51"/>
        <v>575.50770833333365</v>
      </c>
      <c r="BH60" s="61">
        <f t="shared" si="52"/>
        <v>716.49791666666886</v>
      </c>
      <c r="BI60" s="61">
        <f t="shared" si="53"/>
        <v>595.64916666666716</v>
      </c>
      <c r="BJ60" s="61">
        <f t="shared" si="54"/>
        <v>3.5824895833333441</v>
      </c>
      <c r="BK60" s="61">
        <f t="shared" si="55"/>
        <v>3.5824895833333397</v>
      </c>
      <c r="BL60" s="61">
        <f t="shared" si="56"/>
        <v>2.8775385416666683</v>
      </c>
      <c r="BM60" s="61">
        <f t="shared" si="57"/>
        <v>3.5824895833333441</v>
      </c>
      <c r="BN60" s="61">
        <f t="shared" si="58"/>
        <v>2.9782458333333359</v>
      </c>
      <c r="BO60">
        <f t="shared" si="59"/>
        <v>380474.72571428888</v>
      </c>
      <c r="BP60" s="42">
        <f t="shared" si="60"/>
        <v>3573.8950000000032</v>
      </c>
      <c r="BQ60" s="42">
        <f>ROUNDUP(AK60,-1)-100</f>
        <v>110</v>
      </c>
      <c r="BR60" s="42">
        <f>ROUNDUP(AL60,-1)</f>
        <v>80</v>
      </c>
      <c r="BS60" s="42">
        <f>ROUNDUP(AM60,-1)-100</f>
        <v>210</v>
      </c>
      <c r="BT60">
        <f>VLOOKUP($B60,'[4]Food Monitor'!$A$4:$AD$95,16,0)</f>
        <v>400</v>
      </c>
      <c r="BU60">
        <f>VLOOKUP($B60,'[4]Food Monitor'!$A$4:$AD$95,27,0)</f>
        <v>100</v>
      </c>
    </row>
    <row r="61" spans="1:73" ht="16.5" hidden="1">
      <c r="A61" s="51" t="s">
        <v>105</v>
      </c>
      <c r="B61" s="51" t="s">
        <v>242</v>
      </c>
      <c r="C61" s="52" t="s">
        <v>243</v>
      </c>
      <c r="D61" s="51" t="s">
        <v>20</v>
      </c>
      <c r="E61" s="59" t="s">
        <v>20</v>
      </c>
      <c r="F61" s="59" t="s">
        <v>108</v>
      </c>
      <c r="G61" s="63">
        <v>386</v>
      </c>
      <c r="H61" s="61" t="s">
        <v>116</v>
      </c>
      <c r="I61" s="61" t="s">
        <v>113</v>
      </c>
      <c r="J61" s="70">
        <v>392377.94</v>
      </c>
      <c r="K61" s="70">
        <f>J61+14*AB61</f>
        <v>449975.52999999968</v>
      </c>
      <c r="L61" s="71">
        <f t="shared" si="35"/>
        <v>95.373628653560473</v>
      </c>
      <c r="M61" s="71">
        <v>2250</v>
      </c>
      <c r="N61" s="71">
        <v>270</v>
      </c>
      <c r="O61" s="71">
        <v>3168</v>
      </c>
      <c r="P61" s="51">
        <f t="shared" si="36"/>
        <v>20</v>
      </c>
      <c r="Q61" s="73">
        <v>45191</v>
      </c>
      <c r="R61" s="73">
        <v>45211</v>
      </c>
      <c r="S61" s="70">
        <f>VLOOKUP(B61,[1]Sheet7!$H$2:$M$93,5,0)</f>
        <v>549042.31999999599</v>
      </c>
      <c r="T61" s="71">
        <f t="shared" si="37"/>
        <v>125.75408153916537</v>
      </c>
      <c r="U61" s="70">
        <f>VLOOKUP($B61,[1]Sheet7!$H$2:$M$93,4,0)</f>
        <v>485829.55999999656</v>
      </c>
      <c r="V61" s="70">
        <f>VLOOKUP($B61,[1]Sheet7!$H$2:$M$93,2,0)</f>
        <v>63295.669999999947</v>
      </c>
      <c r="W61" s="70">
        <f>VLOOKUP($B61,[1]Sheet7!$H$2:$M$93,3,0)</f>
        <v>0</v>
      </c>
      <c r="X61" s="71">
        <f>VLOOKUP($B61,[1]Sheet8!$D$2:$E$93,2,0)</f>
        <v>3425</v>
      </c>
      <c r="Y61" s="71">
        <f>VLOOKUP($B61,[1]Sheet8!$P$3:$Q$94,2,0)</f>
        <v>5783</v>
      </c>
      <c r="Z61" s="71">
        <f>VLOOKUP($B61,[1]Sheet8!$J$3:$K$94,2,0)</f>
        <v>566</v>
      </c>
      <c r="AA61" s="71">
        <f>VLOOKUP($B61,[1]Sheet7!$H$2:$M$93,6,0)</f>
        <v>69871</v>
      </c>
      <c r="AB61" s="57">
        <v>4114.1135714285501</v>
      </c>
      <c r="AC61" s="57">
        <v>4114.1135714285501</v>
      </c>
      <c r="AD61" s="75">
        <v>0</v>
      </c>
      <c r="AE61" s="57">
        <f t="shared" si="38"/>
        <v>4525.5249285714053</v>
      </c>
      <c r="AF61" s="75">
        <v>1.1000000000000001</v>
      </c>
      <c r="AG61" s="77">
        <f>VLOOKUP($B61,[2]Sheet1!$E$2:$I$96,4,0)</f>
        <v>4366</v>
      </c>
      <c r="AH61" s="77">
        <f>VLOOKUP($B61,[2]Sheet1!$E$2:$I$96,5,0)</f>
        <v>638</v>
      </c>
      <c r="AI61" s="77">
        <f t="shared" si="39"/>
        <v>30562</v>
      </c>
      <c r="AJ61" s="61">
        <f t="shared" si="40"/>
        <v>4466</v>
      </c>
      <c r="AK61" s="61">
        <f>VLOOKUP(B61,[2]Sheet9!$D$2:$F$94,3,0)</f>
        <v>210</v>
      </c>
      <c r="AL61" s="61">
        <f>VLOOKUP(B61,[2]Sheet9!$J$3:$L$95,3,0)</f>
        <v>52</v>
      </c>
      <c r="AM61" s="61">
        <f>VLOOKUP(B61,[2]Sheet9!$P$3:$R$95,3,0)</f>
        <v>331</v>
      </c>
      <c r="AN61" s="70">
        <f t="shared" si="41"/>
        <v>16128.390000003157</v>
      </c>
      <c r="AO61" s="71">
        <f t="shared" si="42"/>
        <v>2016.0487500003946</v>
      </c>
      <c r="AP61" s="71">
        <f t="shared" si="43"/>
        <v>-575</v>
      </c>
      <c r="AQ61" s="71">
        <f t="shared" si="44"/>
        <v>-147.42857142857144</v>
      </c>
      <c r="AR61" s="71">
        <f t="shared" si="45"/>
        <v>-1669.2857142857147</v>
      </c>
      <c r="AS61" s="61" t="str">
        <f t="shared" si="46"/>
        <v>Out of Stock Risk</v>
      </c>
      <c r="AT61" s="57">
        <v>28798.7949999999</v>
      </c>
      <c r="AU61" s="57">
        <f t="shared" si="70"/>
        <v>28798.794999999853</v>
      </c>
      <c r="AV61" s="57">
        <f t="shared" si="47"/>
        <v>30033.038499999951</v>
      </c>
      <c r="AW61" s="57">
        <v>28798.7949999999</v>
      </c>
      <c r="AX61" s="57">
        <f>AI61*1.17</f>
        <v>35757.54</v>
      </c>
      <c r="AY61" s="61">
        <f t="shared" si="48"/>
        <v>3599.8493749999875</v>
      </c>
      <c r="AZ61" s="61">
        <f>IFERROR(VLOOKUP(B61,[3]Sheet2!$E$4:$F$17,2,0),0)</f>
        <v>0</v>
      </c>
      <c r="BA61" s="61">
        <f>AU61/8</f>
        <v>3599.8493749999816</v>
      </c>
      <c r="BB61" s="61">
        <f t="shared" si="65"/>
        <v>3754.1298124999939</v>
      </c>
      <c r="BC61" s="61">
        <f t="shared" si="67"/>
        <v>3599.8493749999875</v>
      </c>
      <c r="BD61" s="61">
        <f t="shared" si="66"/>
        <v>4469.6925000000001</v>
      </c>
      <c r="BE61" s="61">
        <f t="shared" si="49"/>
        <v>599.97489583333129</v>
      </c>
      <c r="BF61" s="61">
        <f t="shared" si="50"/>
        <v>599.97489583333027</v>
      </c>
      <c r="BG61" s="61">
        <f t="shared" si="51"/>
        <v>625.68830208333236</v>
      </c>
      <c r="BH61" s="61">
        <f t="shared" si="52"/>
        <v>599.97489583333129</v>
      </c>
      <c r="BI61" s="61">
        <f t="shared" si="53"/>
        <v>744.94875000000002</v>
      </c>
      <c r="BJ61" s="61">
        <f t="shared" si="54"/>
        <v>2.9998744791666563</v>
      </c>
      <c r="BK61" s="61">
        <f t="shared" si="55"/>
        <v>2.9998744791666514</v>
      </c>
      <c r="BL61" s="61">
        <f t="shared" si="56"/>
        <v>3.1284415104166614</v>
      </c>
      <c r="BM61" s="61">
        <f t="shared" si="57"/>
        <v>2.9998744791666563</v>
      </c>
      <c r="BN61" s="61">
        <f t="shared" si="58"/>
        <v>3.72474375</v>
      </c>
      <c r="BO61">
        <f t="shared" si="59"/>
        <v>540778.85421428212</v>
      </c>
      <c r="BP61" s="42">
        <f t="shared" si="60"/>
        <v>4469.6925000000001</v>
      </c>
      <c r="BQ61" s="42">
        <f>ROUNDUP(AK61,-1)-100</f>
        <v>110</v>
      </c>
      <c r="BR61" s="42">
        <f>ROUNDUP(AL61,-1)-50</f>
        <v>10</v>
      </c>
      <c r="BS61" s="42">
        <f>ROUNDUP(AM61,-1)-100</f>
        <v>240</v>
      </c>
      <c r="BT61">
        <f>VLOOKUP($B61,'[4]Food Monitor'!$A$4:$AD$95,16,0)</f>
        <v>300</v>
      </c>
      <c r="BU61">
        <f>VLOOKUP($B61,'[4]Food Monitor'!$A$4:$AD$95,27,0)</f>
        <v>210</v>
      </c>
    </row>
    <row r="62" spans="1:73" ht="16.5" hidden="1">
      <c r="A62" s="51" t="s">
        <v>105</v>
      </c>
      <c r="B62" s="51" t="s">
        <v>244</v>
      </c>
      <c r="C62" s="52" t="s">
        <v>245</v>
      </c>
      <c r="D62" s="51" t="s">
        <v>231</v>
      </c>
      <c r="E62" s="59" t="s">
        <v>18</v>
      </c>
      <c r="F62" s="59" t="s">
        <v>18</v>
      </c>
      <c r="G62" s="63">
        <v>279</v>
      </c>
      <c r="H62" s="61" t="s">
        <v>109</v>
      </c>
      <c r="I62" s="61" t="s">
        <v>128</v>
      </c>
      <c r="J62" s="70">
        <v>309359.80239999999</v>
      </c>
      <c r="K62" s="70">
        <f t="shared" ref="K62:K93" si="71">J62+21*AB62</f>
        <v>421964.05240000162</v>
      </c>
      <c r="L62" s="71">
        <f t="shared" si="35"/>
        <v>57.69370028573438</v>
      </c>
      <c r="M62" s="71">
        <v>1800</v>
      </c>
      <c r="N62" s="71">
        <v>360</v>
      </c>
      <c r="O62" s="71">
        <v>2112</v>
      </c>
      <c r="P62" s="51">
        <f t="shared" si="36"/>
        <v>27</v>
      </c>
      <c r="Q62" s="73">
        <v>45191</v>
      </c>
      <c r="R62" s="73">
        <v>45218</v>
      </c>
      <c r="S62" s="70">
        <f>VLOOKUP(B62,[1]Sheet7!$H$2:$M$93,5,0)</f>
        <v>360151.5900000023</v>
      </c>
      <c r="T62" s="71">
        <f t="shared" si="37"/>
        <v>113.2552169811328</v>
      </c>
      <c r="U62" s="70">
        <f>VLOOKUP($B62,[1]Sheet7!$H$2:$M$93,4,0)</f>
        <v>288308.58000000037</v>
      </c>
      <c r="V62" s="70">
        <f>VLOOKUP($B62,[1]Sheet7!$H$2:$M$93,2,0)</f>
        <v>37723.109999999964</v>
      </c>
      <c r="W62" s="70">
        <f>VLOOKUP($B62,[1]Sheet7!$H$2:$M$93,3,0)</f>
        <v>34193.769999999953</v>
      </c>
      <c r="X62" s="71">
        <f>VLOOKUP($B62,[1]Sheet8!$D$2:$E$93,2,0)</f>
        <v>2275</v>
      </c>
      <c r="Y62" s="71">
        <f>VLOOKUP($B62,[1]Sheet8!$P$3:$Q$94,2,0)</f>
        <v>3470</v>
      </c>
      <c r="Z62" s="71">
        <f>VLOOKUP($B62,[1]Sheet8!$J$3:$K$94,2,0)</f>
        <v>486</v>
      </c>
      <c r="AA62" s="71">
        <f>VLOOKUP($B62,[1]Sheet7!$H$2:$M$93,6,0)</f>
        <v>46682</v>
      </c>
      <c r="AB62" s="57">
        <v>5362.1071428572204</v>
      </c>
      <c r="AC62" s="57">
        <v>5362.1071428572204</v>
      </c>
      <c r="AD62" s="75">
        <v>0</v>
      </c>
      <c r="AE62" s="57">
        <f t="shared" si="38"/>
        <v>5898.3178571429426</v>
      </c>
      <c r="AF62" s="75">
        <v>1.1000000000000001</v>
      </c>
      <c r="AG62" s="77">
        <f>VLOOKUP($B62,[2]Sheet1!$E$2:$I$96,4,0)</f>
        <v>3180</v>
      </c>
      <c r="AH62" s="77">
        <f>VLOOKUP($B62,[2]Sheet1!$E$2:$I$96,5,0)</f>
        <v>457</v>
      </c>
      <c r="AI62" s="77">
        <f t="shared" si="39"/>
        <v>22260</v>
      </c>
      <c r="AJ62" s="61">
        <f t="shared" si="40"/>
        <v>3199</v>
      </c>
      <c r="AK62" s="61">
        <f>VLOOKUP(B62,[2]Sheet9!$D$2:$F$94,3,0)</f>
        <v>193</v>
      </c>
      <c r="AL62" s="61">
        <f>VLOOKUP(B62,[2]Sheet9!$J$3:$L$95,3,0)</f>
        <v>63</v>
      </c>
      <c r="AM62" s="61">
        <f>VLOOKUP(B62,[2]Sheet9!$P$3:$R$95,3,0)</f>
        <v>226</v>
      </c>
      <c r="AN62" s="70">
        <f t="shared" si="41"/>
        <v>174416.71240000089</v>
      </c>
      <c r="AO62" s="71">
        <f t="shared" si="42"/>
        <v>21802.089050000111</v>
      </c>
      <c r="AP62" s="71">
        <f t="shared" si="43"/>
        <v>269.42857142857156</v>
      </c>
      <c r="AQ62" s="71">
        <f t="shared" si="44"/>
        <v>117</v>
      </c>
      <c r="AR62" s="71">
        <f t="shared" si="45"/>
        <v>-486.28571428571422</v>
      </c>
      <c r="AS62" s="61" t="str">
        <f t="shared" si="46"/>
        <v>Out of Stock Risk</v>
      </c>
      <c r="AT62" s="57">
        <v>50000</v>
      </c>
      <c r="AU62" s="57">
        <f t="shared" si="70"/>
        <v>37534.750000000546</v>
      </c>
      <c r="AV62" s="57">
        <f t="shared" si="47"/>
        <v>26842.425000000163</v>
      </c>
      <c r="AW62" s="57">
        <v>50000</v>
      </c>
      <c r="AX62" s="57">
        <f>AI62*0.7+AC62*7*0.3</f>
        <v>26842.425000000163</v>
      </c>
      <c r="AY62" s="61">
        <f t="shared" si="48"/>
        <v>6250</v>
      </c>
      <c r="AZ62" s="61">
        <f>IFERROR(VLOOKUP(B62,[3]Sheet2!$E$4:$F$17,2,0),0)</f>
        <v>0</v>
      </c>
      <c r="BA62" s="61">
        <f>AU62/8</f>
        <v>4691.8437500000682</v>
      </c>
      <c r="BB62" s="61">
        <f t="shared" si="65"/>
        <v>3355.3031250000204</v>
      </c>
      <c r="BC62" s="61">
        <f t="shared" si="67"/>
        <v>6250</v>
      </c>
      <c r="BD62" s="61">
        <f t="shared" si="66"/>
        <v>3355.3031250000204</v>
      </c>
      <c r="BE62" s="61">
        <f t="shared" si="49"/>
        <v>1041.6666666666667</v>
      </c>
      <c r="BF62" s="61">
        <f t="shared" si="50"/>
        <v>781.97395833334474</v>
      </c>
      <c r="BG62" s="61">
        <f t="shared" si="51"/>
        <v>559.21718750000343</v>
      </c>
      <c r="BH62" s="61">
        <f t="shared" si="52"/>
        <v>1041.6666666666667</v>
      </c>
      <c r="BI62" s="61">
        <f t="shared" si="53"/>
        <v>559.21718750000343</v>
      </c>
      <c r="BJ62" s="61">
        <f t="shared" si="54"/>
        <v>5.208333333333333</v>
      </c>
      <c r="BK62" s="61">
        <f t="shared" si="55"/>
        <v>3.9098697916667233</v>
      </c>
      <c r="BL62" s="61">
        <f t="shared" si="56"/>
        <v>2.7960859375000169</v>
      </c>
      <c r="BM62" s="61">
        <f t="shared" si="57"/>
        <v>5.208333333333333</v>
      </c>
      <c r="BN62" s="61">
        <f t="shared" si="58"/>
        <v>2.7960859375000169</v>
      </c>
      <c r="BO62">
        <f t="shared" si="59"/>
        <v>342249.01142857166</v>
      </c>
      <c r="BP62" s="42">
        <f t="shared" si="60"/>
        <v>3355.3031250000204</v>
      </c>
      <c r="BQ62" s="42">
        <f>ROUNDUP(AK62,-1)</f>
        <v>200</v>
      </c>
      <c r="BR62" s="42">
        <f>ROUNDUP(AL62,-1)</f>
        <v>70</v>
      </c>
      <c r="BS62" s="42">
        <f>ROUNDUP(AM62,-1)</f>
        <v>230</v>
      </c>
      <c r="BT62">
        <f>VLOOKUP($B62,'[4]Food Monitor'!$A$4:$AD$95,16,0)</f>
        <v>350</v>
      </c>
      <c r="BU62">
        <f>VLOOKUP($B62,'[4]Food Monitor'!$A$4:$AD$95,27,0)</f>
        <v>110</v>
      </c>
    </row>
    <row r="63" spans="1:73" ht="16.5" hidden="1">
      <c r="A63" s="51" t="s">
        <v>105</v>
      </c>
      <c r="B63" s="51" t="s">
        <v>246</v>
      </c>
      <c r="C63" s="52" t="s">
        <v>247</v>
      </c>
      <c r="D63" s="51" t="s">
        <v>20</v>
      </c>
      <c r="E63" s="59" t="s">
        <v>19</v>
      </c>
      <c r="F63" s="59" t="s">
        <v>19</v>
      </c>
      <c r="G63" s="63">
        <v>337</v>
      </c>
      <c r="H63" s="61" t="s">
        <v>116</v>
      </c>
      <c r="I63" s="61" t="s">
        <v>151</v>
      </c>
      <c r="J63" s="70">
        <v>377443.85</v>
      </c>
      <c r="K63" s="70">
        <f t="shared" si="71"/>
        <v>556016.24000001187</v>
      </c>
      <c r="L63" s="71">
        <f t="shared" si="35"/>
        <v>44.38715777953955</v>
      </c>
      <c r="M63" s="71">
        <v>1440</v>
      </c>
      <c r="N63" s="71">
        <v>720</v>
      </c>
      <c r="O63" s="71">
        <v>3168</v>
      </c>
      <c r="P63" s="51">
        <f t="shared" si="36"/>
        <v>27</v>
      </c>
      <c r="Q63" s="73">
        <v>45191</v>
      </c>
      <c r="R63" s="73">
        <v>45218</v>
      </c>
      <c r="S63" s="70">
        <f>VLOOKUP(B63,[1]Sheet7!$H$2:$M$93,5,0)</f>
        <v>620445.50999999745</v>
      </c>
      <c r="T63" s="71">
        <f t="shared" si="37"/>
        <v>100.88544878048739</v>
      </c>
      <c r="U63" s="70">
        <f>VLOOKUP($B63,[1]Sheet7!$H$2:$M$93,4,0)</f>
        <v>596660.2799999984</v>
      </c>
      <c r="V63" s="70">
        <f>VLOOKUP($B63,[1]Sheet7!$H$2:$M$93,2,0)</f>
        <v>24108.709999999977</v>
      </c>
      <c r="W63" s="70">
        <f>VLOOKUP($B63,[1]Sheet7!$H$2:$M$93,3,0)</f>
        <v>0</v>
      </c>
      <c r="X63" s="71">
        <f>VLOOKUP($B63,[1]Sheet8!$D$2:$E$93,2,0)</f>
        <v>2450</v>
      </c>
      <c r="Y63" s="71">
        <f>VLOOKUP($B63,[1]Sheet8!$P$3:$Q$94,2,0)</f>
        <v>6289</v>
      </c>
      <c r="Z63" s="71">
        <f>VLOOKUP($B63,[1]Sheet8!$J$3:$K$94,2,0)</f>
        <v>592</v>
      </c>
      <c r="AA63" s="71">
        <f>VLOOKUP($B63,[1]Sheet7!$H$2:$M$93,6,0)</f>
        <v>79594</v>
      </c>
      <c r="AB63" s="57">
        <v>8503.4471428577108</v>
      </c>
      <c r="AC63" s="57">
        <v>9523.8608000006407</v>
      </c>
      <c r="AD63" s="76">
        <v>0.12</v>
      </c>
      <c r="AE63" s="57">
        <f t="shared" si="38"/>
        <v>10476.246880000706</v>
      </c>
      <c r="AF63" s="75">
        <v>1.1000000000000001</v>
      </c>
      <c r="AG63" s="77">
        <f>VLOOKUP($B63,[2]Sheet1!$E$2:$I$96,4,0)</f>
        <v>6150</v>
      </c>
      <c r="AH63" s="77">
        <f>VLOOKUP($B63,[2]Sheet1!$E$2:$I$96,5,0)</f>
        <v>845</v>
      </c>
      <c r="AI63" s="77">
        <f t="shared" si="39"/>
        <v>43050</v>
      </c>
      <c r="AJ63" s="61">
        <f t="shared" si="40"/>
        <v>5915</v>
      </c>
      <c r="AK63" s="61">
        <f>VLOOKUP(B63,[2]Sheet9!$D$2:$F$94,3,0)</f>
        <v>314</v>
      </c>
      <c r="AL63" s="61">
        <f>VLOOKUP(B63,[2]Sheet9!$J$3:$L$95,3,0)</f>
        <v>74</v>
      </c>
      <c r="AM63" s="61">
        <f>VLOOKUP(B63,[2]Sheet9!$P$3:$R$95,3,0)</f>
        <v>424</v>
      </c>
      <c r="AN63" s="70">
        <f t="shared" si="41"/>
        <v>157000.4936000295</v>
      </c>
      <c r="AO63" s="71">
        <f t="shared" si="42"/>
        <v>19625.061700003687</v>
      </c>
      <c r="AP63" s="71">
        <f t="shared" si="43"/>
        <v>201.14285714285688</v>
      </c>
      <c r="AQ63" s="71">
        <f t="shared" si="44"/>
        <v>413.42857142857144</v>
      </c>
      <c r="AR63" s="71">
        <f t="shared" si="45"/>
        <v>-1485.5714285714284</v>
      </c>
      <c r="AS63" s="61" t="str">
        <f t="shared" si="46"/>
        <v>Out of Stock Risk</v>
      </c>
      <c r="AT63" s="57">
        <v>70000</v>
      </c>
      <c r="AU63" s="57">
        <f t="shared" si="70"/>
        <v>66667.02560000449</v>
      </c>
      <c r="AV63" s="57">
        <f t="shared" si="47"/>
        <v>50135.10768000134</v>
      </c>
      <c r="AW63" s="57">
        <v>70000</v>
      </c>
      <c r="AX63" s="57">
        <f>AI63*0.8+AC63*7*0.2</f>
        <v>47773.405120000898</v>
      </c>
      <c r="AY63" s="61">
        <f t="shared" si="48"/>
        <v>8750</v>
      </c>
      <c r="AZ63" s="61">
        <f>IFERROR(VLOOKUP(B63,[3]Sheet2!$E$4:$F$17,2,0),0)</f>
        <v>1955</v>
      </c>
      <c r="BA63" s="61">
        <f>AU63/8-AZ63</f>
        <v>6378.3782000005613</v>
      </c>
      <c r="BB63" s="61">
        <f t="shared" si="65"/>
        <v>6266.8884600001675</v>
      </c>
      <c r="BC63" s="61">
        <f t="shared" si="67"/>
        <v>8750</v>
      </c>
      <c r="BD63" s="61">
        <f t="shared" si="66"/>
        <v>5971.6756400001123</v>
      </c>
      <c r="BE63" s="61">
        <f t="shared" si="49"/>
        <v>1458.3333333333333</v>
      </c>
      <c r="BF63" s="61">
        <f t="shared" si="50"/>
        <v>1063.0630333334268</v>
      </c>
      <c r="BG63" s="61">
        <f t="shared" si="51"/>
        <v>1044.4814100000278</v>
      </c>
      <c r="BH63" s="61">
        <f t="shared" si="52"/>
        <v>1458.3333333333333</v>
      </c>
      <c r="BI63" s="61">
        <f t="shared" si="53"/>
        <v>669.44594000001871</v>
      </c>
      <c r="BJ63" s="61">
        <f t="shared" si="54"/>
        <v>7.291666666666667</v>
      </c>
      <c r="BK63" s="61">
        <f t="shared" si="55"/>
        <v>5.3153151666671343</v>
      </c>
      <c r="BL63" s="61">
        <f t="shared" si="56"/>
        <v>5.2224070500001396</v>
      </c>
      <c r="BM63" s="61">
        <f t="shared" si="57"/>
        <v>7.291666666666667</v>
      </c>
      <c r="BN63" s="61">
        <f t="shared" si="58"/>
        <v>3.3472297000000935</v>
      </c>
      <c r="BO63">
        <f t="shared" si="59"/>
        <v>562774.20011426555</v>
      </c>
      <c r="BP63" s="42">
        <f t="shared" si="60"/>
        <v>4016.6756400001123</v>
      </c>
      <c r="BQ63" s="42">
        <f>ROUNDUP(AK63,-1)-50</f>
        <v>270</v>
      </c>
      <c r="BR63" s="42">
        <f>ROUNDUP(AL63,-1)</f>
        <v>80</v>
      </c>
      <c r="BS63" s="42">
        <f>ROUNDUP(AM63,-1)-100</f>
        <v>330</v>
      </c>
      <c r="BT63">
        <f>VLOOKUP($B63,'[4]Food Monitor'!$A$4:$AD$95,16,0)</f>
        <v>500</v>
      </c>
      <c r="BU63">
        <f>VLOOKUP($B63,'[4]Food Monitor'!$A$4:$AD$95,27,0)</f>
        <v>160</v>
      </c>
    </row>
    <row r="64" spans="1:73" ht="16.5" hidden="1">
      <c r="A64" s="51" t="s">
        <v>105</v>
      </c>
      <c r="B64" s="51" t="s">
        <v>248</v>
      </c>
      <c r="C64" s="52" t="s">
        <v>249</v>
      </c>
      <c r="D64" s="51" t="s">
        <v>231</v>
      </c>
      <c r="E64" s="59" t="s">
        <v>18</v>
      </c>
      <c r="F64" s="59" t="s">
        <v>18</v>
      </c>
      <c r="G64" s="63">
        <v>287</v>
      </c>
      <c r="H64" s="61" t="s">
        <v>109</v>
      </c>
      <c r="I64" s="61" t="s">
        <v>128</v>
      </c>
      <c r="J64" s="70">
        <v>199953.65</v>
      </c>
      <c r="K64" s="70">
        <f t="shared" si="71"/>
        <v>268166.49500000034</v>
      </c>
      <c r="L64" s="71">
        <f t="shared" si="35"/>
        <v>61.557711747691798</v>
      </c>
      <c r="M64" s="71">
        <v>1800</v>
      </c>
      <c r="N64" s="71">
        <v>360</v>
      </c>
      <c r="O64" s="71">
        <v>2112</v>
      </c>
      <c r="P64" s="51">
        <f t="shared" si="36"/>
        <v>27</v>
      </c>
      <c r="Q64" s="73">
        <v>45191</v>
      </c>
      <c r="R64" s="73">
        <v>45218</v>
      </c>
      <c r="S64" s="70">
        <f>VLOOKUP(B64,[1]Sheet7!$H$2:$M$93,5,0)</f>
        <v>383159.08000000432</v>
      </c>
      <c r="T64" s="71">
        <f t="shared" si="37"/>
        <v>180.22534336782894</v>
      </c>
      <c r="U64" s="70">
        <f>VLOOKUP($B64,[1]Sheet7!$H$2:$M$93,4,0)</f>
        <v>271187.16000000125</v>
      </c>
      <c r="V64" s="70">
        <f>VLOOKUP($B64,[1]Sheet7!$H$2:$M$93,2,0)</f>
        <v>111995.8399999996</v>
      </c>
      <c r="W64" s="70">
        <f>VLOOKUP($B64,[1]Sheet7!$H$2:$M$93,3,0)</f>
        <v>0</v>
      </c>
      <c r="X64" s="71">
        <f>VLOOKUP($B64,[1]Sheet8!$D$2:$E$93,2,0)</f>
        <v>2645</v>
      </c>
      <c r="Y64" s="71">
        <f>VLOOKUP($B64,[1]Sheet8!$P$3:$Q$94,2,0)</f>
        <v>3318</v>
      </c>
      <c r="Z64" s="71">
        <f>VLOOKUP($B64,[1]Sheet8!$J$3:$K$94,2,0)</f>
        <v>572</v>
      </c>
      <c r="AA64" s="71">
        <f>VLOOKUP($B64,[1]Sheet7!$H$2:$M$93,6,0)</f>
        <v>46929</v>
      </c>
      <c r="AB64" s="57">
        <v>3248.2307142857298</v>
      </c>
      <c r="AC64" s="57">
        <v>3248.2307142857298</v>
      </c>
      <c r="AD64" s="75">
        <v>0</v>
      </c>
      <c r="AE64" s="57">
        <f t="shared" si="38"/>
        <v>3573.0537857143031</v>
      </c>
      <c r="AF64" s="75">
        <v>1.1000000000000001</v>
      </c>
      <c r="AG64" s="77">
        <f>VLOOKUP($B64,[2]Sheet1!$E$2:$I$96,4,0)</f>
        <v>2126</v>
      </c>
      <c r="AH64" s="77">
        <f>VLOOKUP($B64,[2]Sheet1!$E$2:$I$96,5,0)</f>
        <v>286</v>
      </c>
      <c r="AI64" s="77">
        <f t="shared" si="39"/>
        <v>14882</v>
      </c>
      <c r="AJ64" s="61">
        <f t="shared" si="40"/>
        <v>2002</v>
      </c>
      <c r="AK64" s="61">
        <f>VLOOKUP(B64,[2]Sheet9!$D$2:$F$94,3,0)</f>
        <v>159</v>
      </c>
      <c r="AL64" s="61">
        <f>VLOOKUP(B64,[2]Sheet9!$J$3:$L$95,3,0)</f>
        <v>42</v>
      </c>
      <c r="AM64" s="61">
        <f>VLOOKUP(B64,[2]Sheet9!$P$3:$R$95,3,0)</f>
        <v>160</v>
      </c>
      <c r="AN64" s="70">
        <f t="shared" si="41"/>
        <v>-46779.740000003658</v>
      </c>
      <c r="AO64" s="71">
        <f t="shared" si="42"/>
        <v>0</v>
      </c>
      <c r="AP64" s="71">
        <f t="shared" si="43"/>
        <v>-231.71428571428578</v>
      </c>
      <c r="AQ64" s="71">
        <f t="shared" si="44"/>
        <v>-50</v>
      </c>
      <c r="AR64" s="71">
        <f t="shared" si="45"/>
        <v>-588.85714285714312</v>
      </c>
      <c r="AS64" s="61" t="str">
        <f t="shared" si="46"/>
        <v>Full of Stock Risk</v>
      </c>
      <c r="AT64" s="57">
        <v>22737.6150000001</v>
      </c>
      <c r="AU64" s="57">
        <f>AG64*7</f>
        <v>14882</v>
      </c>
      <c r="AV64" s="57">
        <f t="shared" si="47"/>
        <v>17238.684500000032</v>
      </c>
      <c r="AW64" s="57">
        <v>22737.6150000001</v>
      </c>
      <c r="AX64" s="57">
        <f>AI64*0.6+AC64*7*0.4</f>
        <v>18024.246000000043</v>
      </c>
      <c r="AY64" s="61">
        <f t="shared" si="48"/>
        <v>2842.2018750000125</v>
      </c>
      <c r="AZ64" s="61">
        <f>IFERROR(VLOOKUP(B64,[3]Sheet2!$E$4:$F$17,2,0),0)</f>
        <v>0</v>
      </c>
      <c r="BA64" s="61">
        <f>AU64/8</f>
        <v>1860.25</v>
      </c>
      <c r="BB64" s="61">
        <f t="shared" si="65"/>
        <v>2154.835562500004</v>
      </c>
      <c r="BC64" s="61">
        <f t="shared" si="67"/>
        <v>2842.2018750000125</v>
      </c>
      <c r="BD64" s="61">
        <f t="shared" si="66"/>
        <v>2253.0307500000054</v>
      </c>
      <c r="BE64" s="61">
        <f t="shared" si="49"/>
        <v>473.7003125000021</v>
      </c>
      <c r="BF64" s="61">
        <f t="shared" si="50"/>
        <v>310.04166666666669</v>
      </c>
      <c r="BG64" s="61">
        <f t="shared" si="51"/>
        <v>359.13926041666736</v>
      </c>
      <c r="BH64" s="61">
        <f t="shared" si="52"/>
        <v>473.7003125000021</v>
      </c>
      <c r="BI64" s="61">
        <f t="shared" si="53"/>
        <v>375.50512500000087</v>
      </c>
      <c r="BJ64" s="61">
        <f t="shared" si="54"/>
        <v>2.3685015625000103</v>
      </c>
      <c r="BK64" s="61">
        <f t="shared" si="55"/>
        <v>1.5502083333333334</v>
      </c>
      <c r="BL64" s="61">
        <f t="shared" si="56"/>
        <v>1.7956963020833367</v>
      </c>
      <c r="BM64" s="61">
        <f t="shared" si="57"/>
        <v>2.3685015625000103</v>
      </c>
      <c r="BN64" s="61">
        <f t="shared" si="58"/>
        <v>1.8775256250000045</v>
      </c>
      <c r="BO64">
        <f t="shared" si="59"/>
        <v>352098.24264286109</v>
      </c>
      <c r="BP64" s="42">
        <f t="shared" si="60"/>
        <v>2253.0307500000054</v>
      </c>
      <c r="BQ64" s="42">
        <f t="shared" ref="BQ64:BQ69" si="72">ROUNDUP(AK64,-1)-100</f>
        <v>60</v>
      </c>
      <c r="BR64" s="42">
        <f>ROUNDUP(AL64,-1)-50</f>
        <v>0</v>
      </c>
      <c r="BS64" s="42">
        <f>ROUNDUP(AM64,-1)-50</f>
        <v>110</v>
      </c>
      <c r="BT64">
        <f>VLOOKUP($B64,'[4]Food Monitor'!$A$4:$AD$95,16,0)</f>
        <v>200</v>
      </c>
      <c r="BU64">
        <f>VLOOKUP($B64,'[4]Food Monitor'!$A$4:$AD$95,27,0)</f>
        <v>130</v>
      </c>
    </row>
    <row r="65" spans="1:73" ht="16.5" hidden="1">
      <c r="A65" s="51" t="s">
        <v>105</v>
      </c>
      <c r="B65" s="51" t="s">
        <v>250</v>
      </c>
      <c r="C65" s="52" t="s">
        <v>251</v>
      </c>
      <c r="D65" s="51" t="s">
        <v>231</v>
      </c>
      <c r="E65" s="59" t="s">
        <v>18</v>
      </c>
      <c r="F65" s="59" t="s">
        <v>18</v>
      </c>
      <c r="G65" s="63">
        <v>327.57597800000002</v>
      </c>
      <c r="H65" s="61" t="s">
        <v>109</v>
      </c>
      <c r="I65" s="61" t="s">
        <v>128</v>
      </c>
      <c r="J65" s="70">
        <v>221969.95137930999</v>
      </c>
      <c r="K65" s="70">
        <f t="shared" si="71"/>
        <v>302085.64137930982</v>
      </c>
      <c r="L65" s="71">
        <f t="shared" si="35"/>
        <v>58.182972386127098</v>
      </c>
      <c r="M65" s="71">
        <v>1620</v>
      </c>
      <c r="N65" s="71">
        <v>720</v>
      </c>
      <c r="O65" s="71">
        <v>2112</v>
      </c>
      <c r="P65" s="51">
        <f t="shared" si="36"/>
        <v>27</v>
      </c>
      <c r="Q65" s="73">
        <v>45191</v>
      </c>
      <c r="R65" s="73">
        <v>45218</v>
      </c>
      <c r="S65" s="70">
        <f>VLOOKUP(B65,[1]Sheet7!$H$2:$M$93,5,0)</f>
        <v>417567.42000000313</v>
      </c>
      <c r="T65" s="71">
        <f t="shared" si="37"/>
        <v>139.74813253012152</v>
      </c>
      <c r="U65" s="70">
        <f>VLOOKUP($B65,[1]Sheet7!$H$2:$M$93,4,0)</f>
        <v>324624.90000000142</v>
      </c>
      <c r="V65" s="70">
        <f>VLOOKUP($B65,[1]Sheet7!$H$2:$M$93,2,0)</f>
        <v>93100.039999999717</v>
      </c>
      <c r="W65" s="70">
        <f>VLOOKUP($B65,[1]Sheet7!$H$2:$M$93,3,0)</f>
        <v>0</v>
      </c>
      <c r="X65" s="71">
        <f>VLOOKUP($B65,[1]Sheet8!$D$2:$E$93,2,0)</f>
        <v>2781</v>
      </c>
      <c r="Y65" s="71">
        <f>VLOOKUP($B65,[1]Sheet8!$P$3:$Q$94,2,0)</f>
        <v>3857</v>
      </c>
      <c r="Z65" s="71">
        <f>VLOOKUP($B65,[1]Sheet8!$J$3:$K$94,2,0)</f>
        <v>538</v>
      </c>
      <c r="AA65" s="71">
        <f>VLOOKUP($B65,[1]Sheet7!$H$2:$M$93,6,0)</f>
        <v>51458</v>
      </c>
      <c r="AB65" s="57">
        <v>3815.0328571428499</v>
      </c>
      <c r="AC65" s="57">
        <v>3815.0328571428499</v>
      </c>
      <c r="AD65" s="75">
        <v>0</v>
      </c>
      <c r="AE65" s="57">
        <f t="shared" si="38"/>
        <v>4196.536142857135</v>
      </c>
      <c r="AF65" s="75">
        <v>1.1000000000000001</v>
      </c>
      <c r="AG65" s="77">
        <f>VLOOKUP($B65,[2]Sheet1!$E$2:$I$96,4,0)</f>
        <v>2988</v>
      </c>
      <c r="AH65" s="77">
        <f>VLOOKUP($B65,[2]Sheet1!$E$2:$I$96,5,0)</f>
        <v>423</v>
      </c>
      <c r="AI65" s="77">
        <f t="shared" si="39"/>
        <v>20916</v>
      </c>
      <c r="AJ65" s="61">
        <f t="shared" si="40"/>
        <v>2961</v>
      </c>
      <c r="AK65" s="61">
        <f>VLOOKUP(B65,[2]Sheet9!$D$2:$F$94,3,0)</f>
        <v>186</v>
      </c>
      <c r="AL65" s="61">
        <f>VLOOKUP(B65,[2]Sheet9!$J$3:$L$95,3,0)</f>
        <v>53</v>
      </c>
      <c r="AM65" s="61">
        <f>VLOOKUP(B65,[2]Sheet9!$P$3:$R$95,3,0)</f>
        <v>175</v>
      </c>
      <c r="AN65" s="70">
        <f t="shared" si="41"/>
        <v>-35366.088620693423</v>
      </c>
      <c r="AO65" s="71">
        <f t="shared" si="42"/>
        <v>0</v>
      </c>
      <c r="AP65" s="71">
        <f t="shared" si="43"/>
        <v>-443.57142857142844</v>
      </c>
      <c r="AQ65" s="71">
        <f t="shared" si="44"/>
        <v>386.42857142857144</v>
      </c>
      <c r="AR65" s="71">
        <f t="shared" si="45"/>
        <v>-1070</v>
      </c>
      <c r="AS65" s="61" t="str">
        <f t="shared" si="46"/>
        <v>Full of Stock Risk</v>
      </c>
      <c r="AT65" s="57">
        <v>26705.229999999901</v>
      </c>
      <c r="AU65" s="57">
        <f>AC65*7</f>
        <v>26705.229999999949</v>
      </c>
      <c r="AV65" s="57">
        <f t="shared" si="47"/>
        <v>22652.768999999986</v>
      </c>
      <c r="AW65" s="57">
        <v>26705.229999999901</v>
      </c>
      <c r="AX65" s="57">
        <f>AI65*0.4+AC65*7*0.6</f>
        <v>24389.537999999968</v>
      </c>
      <c r="AY65" s="61">
        <f t="shared" si="48"/>
        <v>3338.1537499999877</v>
      </c>
      <c r="AZ65" s="61">
        <f>IFERROR(VLOOKUP(B65,[3]Sheet2!$E$4:$F$17,2,0),0)</f>
        <v>0</v>
      </c>
      <c r="BA65" s="61">
        <f>AU65/8</f>
        <v>3338.1537499999936</v>
      </c>
      <c r="BB65" s="61">
        <f t="shared" si="65"/>
        <v>2831.5961249999982</v>
      </c>
      <c r="BC65" s="61">
        <f t="shared" si="67"/>
        <v>3338.1537499999877</v>
      </c>
      <c r="BD65" s="61">
        <f t="shared" si="66"/>
        <v>3048.692249999996</v>
      </c>
      <c r="BE65" s="61">
        <f t="shared" si="49"/>
        <v>556.35895833333132</v>
      </c>
      <c r="BF65" s="61">
        <f t="shared" si="50"/>
        <v>556.35895833333223</v>
      </c>
      <c r="BG65" s="61">
        <f t="shared" si="51"/>
        <v>471.9326874999997</v>
      </c>
      <c r="BH65" s="61">
        <f t="shared" si="52"/>
        <v>556.35895833333132</v>
      </c>
      <c r="BI65" s="61">
        <f t="shared" si="53"/>
        <v>508.11537499999935</v>
      </c>
      <c r="BJ65" s="61">
        <f t="shared" si="54"/>
        <v>2.7817947916666563</v>
      </c>
      <c r="BK65" s="61">
        <f t="shared" si="55"/>
        <v>2.7817947916666612</v>
      </c>
      <c r="BL65" s="61">
        <f t="shared" si="56"/>
        <v>2.3596634374999983</v>
      </c>
      <c r="BM65" s="61">
        <f t="shared" si="57"/>
        <v>2.7817947916666563</v>
      </c>
      <c r="BN65" s="61">
        <f t="shared" si="58"/>
        <v>2.5405768749999966</v>
      </c>
      <c r="BO65">
        <f t="shared" si="59"/>
        <v>395939.13557143166</v>
      </c>
      <c r="BP65" s="42">
        <f t="shared" si="60"/>
        <v>3048.692249999996</v>
      </c>
      <c r="BQ65" s="42">
        <f t="shared" si="72"/>
        <v>90</v>
      </c>
      <c r="BR65" s="42">
        <f t="shared" ref="BR65:BR79" si="73">ROUNDUP(AL65,-1)</f>
        <v>60</v>
      </c>
      <c r="BS65" s="42">
        <f>ROUNDUP(AM65,-1)-100</f>
        <v>80</v>
      </c>
      <c r="BT65">
        <f>VLOOKUP($B65,'[4]Food Monitor'!$A$4:$AD$95,16,0)</f>
        <v>200</v>
      </c>
      <c r="BU65">
        <f>VLOOKUP($B65,'[4]Food Monitor'!$A$4:$AD$95,27,0)</f>
        <v>130</v>
      </c>
    </row>
    <row r="66" spans="1:73" ht="16.5" hidden="1">
      <c r="A66" s="51" t="s">
        <v>105</v>
      </c>
      <c r="B66" s="51" t="s">
        <v>252</v>
      </c>
      <c r="C66" s="52" t="s">
        <v>253</v>
      </c>
      <c r="D66" s="51" t="s">
        <v>231</v>
      </c>
      <c r="E66" s="59" t="s">
        <v>18</v>
      </c>
      <c r="F66" s="59" t="s">
        <v>18</v>
      </c>
      <c r="G66" s="63">
        <v>435.15765199999998</v>
      </c>
      <c r="H66" s="61" t="s">
        <v>116</v>
      </c>
      <c r="I66" s="61" t="s">
        <v>128</v>
      </c>
      <c r="J66" s="70">
        <v>268071.14</v>
      </c>
      <c r="K66" s="70">
        <f t="shared" si="71"/>
        <v>357515.79499999929</v>
      </c>
      <c r="L66" s="71">
        <f t="shared" si="35"/>
        <v>62.938293406129716</v>
      </c>
      <c r="M66" s="71">
        <v>1980</v>
      </c>
      <c r="N66" s="71">
        <v>720</v>
      </c>
      <c r="O66" s="71">
        <v>3168</v>
      </c>
      <c r="P66" s="51">
        <f t="shared" si="36"/>
        <v>27</v>
      </c>
      <c r="Q66" s="73">
        <v>45191</v>
      </c>
      <c r="R66" s="73">
        <v>45218</v>
      </c>
      <c r="S66" s="70">
        <f>VLOOKUP(B66,[1]Sheet7!$H$2:$M$93,5,0)</f>
        <v>537608.33000000089</v>
      </c>
      <c r="T66" s="71">
        <f t="shared" si="37"/>
        <v>156.2360738157515</v>
      </c>
      <c r="U66" s="70">
        <f>VLOOKUP($B66,[1]Sheet7!$H$2:$M$93,4,0)</f>
        <v>513938.37000000069</v>
      </c>
      <c r="V66" s="70">
        <f>VLOOKUP($B66,[1]Sheet7!$H$2:$M$93,2,0)</f>
        <v>0</v>
      </c>
      <c r="W66" s="70">
        <f>VLOOKUP($B66,[1]Sheet7!$H$2:$M$93,3,0)</f>
        <v>24210.159999999978</v>
      </c>
      <c r="X66" s="71">
        <f>VLOOKUP($B66,[1]Sheet8!$D$2:$E$93,2,0)</f>
        <v>2974</v>
      </c>
      <c r="Y66" s="71">
        <f>VLOOKUP($B66,[1]Sheet8!$P$3:$Q$94,2,0)</f>
        <v>4662</v>
      </c>
      <c r="Z66" s="71">
        <f>VLOOKUP($B66,[1]Sheet8!$J$3:$K$94,2,0)</f>
        <v>676</v>
      </c>
      <c r="AA66" s="71">
        <f>VLOOKUP($B66,[1]Sheet7!$H$2:$M$93,6,0)</f>
        <v>68415</v>
      </c>
      <c r="AB66" s="57">
        <v>4259.2692857142501</v>
      </c>
      <c r="AC66" s="57">
        <v>4259.2692857142501</v>
      </c>
      <c r="AD66" s="75">
        <v>0</v>
      </c>
      <c r="AE66" s="57">
        <f t="shared" si="38"/>
        <v>4685.1962142856755</v>
      </c>
      <c r="AF66" s="75">
        <v>1.1000000000000001</v>
      </c>
      <c r="AG66" s="77">
        <f>VLOOKUP($B66,[2]Sheet1!$E$2:$I$96,4,0)</f>
        <v>3441</v>
      </c>
      <c r="AH66" s="77">
        <f>VLOOKUP($B66,[2]Sheet1!$E$2:$I$96,5,0)</f>
        <v>489</v>
      </c>
      <c r="AI66" s="77">
        <f t="shared" si="39"/>
        <v>24087</v>
      </c>
      <c r="AJ66" s="61">
        <f t="shared" si="40"/>
        <v>3423</v>
      </c>
      <c r="AK66" s="61">
        <f>VLOOKUP(B66,[2]Sheet9!$D$2:$F$94,3,0)</f>
        <v>227</v>
      </c>
      <c r="AL66" s="61">
        <f>VLOOKUP(B66,[2]Sheet9!$J$3:$L$95,3,0)</f>
        <v>52</v>
      </c>
      <c r="AM66" s="61">
        <f>VLOOKUP(B66,[2]Sheet9!$P$3:$R$95,3,0)</f>
        <v>192</v>
      </c>
      <c r="AN66" s="70">
        <f t="shared" si="41"/>
        <v>-90647.880000002391</v>
      </c>
      <c r="AO66" s="71">
        <f t="shared" si="42"/>
        <v>0</v>
      </c>
      <c r="AP66" s="71">
        <f t="shared" si="43"/>
        <v>-118.42857142857156</v>
      </c>
      <c r="AQ66" s="71">
        <f t="shared" si="44"/>
        <v>244.57142857142856</v>
      </c>
      <c r="AR66" s="71">
        <f t="shared" si="45"/>
        <v>-753.42857142857156</v>
      </c>
      <c r="AS66" s="61" t="str">
        <f t="shared" si="46"/>
        <v>Full of Stock Risk</v>
      </c>
      <c r="AT66" s="57">
        <v>29814.884999999798</v>
      </c>
      <c r="AU66" s="57">
        <f>AG66*7</f>
        <v>24087</v>
      </c>
      <c r="AV66" s="57">
        <f t="shared" si="47"/>
        <v>25805.365499999923</v>
      </c>
      <c r="AW66" s="57">
        <v>29814.884999999798</v>
      </c>
      <c r="AX66" s="57">
        <f>AI66*0.4+AC66*7*0.6</f>
        <v>27523.730999999854</v>
      </c>
      <c r="AY66" s="61">
        <f t="shared" si="48"/>
        <v>3726.8606249999748</v>
      </c>
      <c r="AZ66" s="61">
        <f>IFERROR(VLOOKUP(B66,[3]Sheet2!$E$4:$F$17,2,0),0)</f>
        <v>885</v>
      </c>
      <c r="BA66" s="61">
        <f>AU66/8-AZ66</f>
        <v>2125.875</v>
      </c>
      <c r="BB66" s="61">
        <f t="shared" si="65"/>
        <v>3225.6706874999904</v>
      </c>
      <c r="BC66" s="61">
        <f t="shared" si="67"/>
        <v>3726.8606249999748</v>
      </c>
      <c r="BD66" s="61">
        <f t="shared" si="66"/>
        <v>3440.4663749999818</v>
      </c>
      <c r="BE66" s="61">
        <f t="shared" si="49"/>
        <v>621.1434374999958</v>
      </c>
      <c r="BF66" s="61">
        <f t="shared" si="50"/>
        <v>354.3125</v>
      </c>
      <c r="BG66" s="61">
        <f t="shared" si="51"/>
        <v>537.61178124999844</v>
      </c>
      <c r="BH66" s="61">
        <f t="shared" si="52"/>
        <v>621.1434374999958</v>
      </c>
      <c r="BI66" s="61">
        <f t="shared" si="53"/>
        <v>425.91106249999694</v>
      </c>
      <c r="BJ66" s="61">
        <f t="shared" si="54"/>
        <v>3.1057171874999789</v>
      </c>
      <c r="BK66" s="61">
        <f t="shared" si="55"/>
        <v>1.7715624999999999</v>
      </c>
      <c r="BL66" s="61">
        <f t="shared" si="56"/>
        <v>2.6880589062499922</v>
      </c>
      <c r="BM66" s="61">
        <f t="shared" si="57"/>
        <v>3.1057171874999789</v>
      </c>
      <c r="BN66" s="61">
        <f t="shared" si="58"/>
        <v>2.1295553124999849</v>
      </c>
      <c r="BO66">
        <f t="shared" si="59"/>
        <v>508542.69435714453</v>
      </c>
      <c r="BP66" s="42">
        <f t="shared" si="60"/>
        <v>2555.4663749999818</v>
      </c>
      <c r="BQ66" s="42">
        <f t="shared" si="72"/>
        <v>130</v>
      </c>
      <c r="BR66" s="42">
        <f t="shared" si="73"/>
        <v>60</v>
      </c>
      <c r="BS66" s="42">
        <f>ROUNDUP(AM66,-1)-100</f>
        <v>100</v>
      </c>
      <c r="BT66">
        <f>VLOOKUP($B66,'[4]Food Monitor'!$A$4:$AD$95,16,0)</f>
        <v>210</v>
      </c>
      <c r="BU66">
        <f>VLOOKUP($B66,'[4]Food Monitor'!$A$4:$AD$95,27,0)</f>
        <v>100</v>
      </c>
    </row>
    <row r="67" spans="1:73" ht="16.5" hidden="1">
      <c r="A67" s="51" t="s">
        <v>105</v>
      </c>
      <c r="B67" s="51" t="s">
        <v>254</v>
      </c>
      <c r="C67" s="52" t="s">
        <v>255</v>
      </c>
      <c r="D67" s="51" t="s">
        <v>231</v>
      </c>
      <c r="E67" s="59" t="s">
        <v>18</v>
      </c>
      <c r="F67" s="59" t="s">
        <v>18</v>
      </c>
      <c r="G67" s="63">
        <v>321.81599199999999</v>
      </c>
      <c r="H67" s="61" t="s">
        <v>121</v>
      </c>
      <c r="I67" s="61" t="s">
        <v>128</v>
      </c>
      <c r="J67" s="70">
        <v>231682.68</v>
      </c>
      <c r="K67" s="70">
        <f t="shared" si="71"/>
        <v>280619.0100000021</v>
      </c>
      <c r="L67" s="71">
        <f t="shared" ref="L67:L93" si="74">J67/AB67</f>
        <v>99.421764566320945</v>
      </c>
      <c r="M67" s="71">
        <v>1260</v>
      </c>
      <c r="N67" s="71">
        <v>540</v>
      </c>
      <c r="O67" s="71">
        <v>1408</v>
      </c>
      <c r="P67" s="51">
        <f t="shared" ref="P67:P93" si="75">R67-Q67</f>
        <v>27</v>
      </c>
      <c r="Q67" s="73">
        <v>45191</v>
      </c>
      <c r="R67" s="73">
        <v>45218</v>
      </c>
      <c r="S67" s="70">
        <f>VLOOKUP(B67,[1]Sheet7!$H$2:$M$93,5,0)</f>
        <v>339742.4500000024</v>
      </c>
      <c r="T67" s="71">
        <f t="shared" ref="T67:T93" si="76">S67/AG67</f>
        <v>205.28244712991082</v>
      </c>
      <c r="U67" s="70">
        <f>VLOOKUP($B67,[1]Sheet7!$H$2:$M$93,4,0)</f>
        <v>286916.67000000074</v>
      </c>
      <c r="V67" s="70">
        <f>VLOOKUP($B67,[1]Sheet7!$H$2:$M$93,2,0)</f>
        <v>53540.560000000005</v>
      </c>
      <c r="W67" s="70">
        <f>VLOOKUP($B67,[1]Sheet7!$H$2:$M$93,3,0)</f>
        <v>0</v>
      </c>
      <c r="X67" s="71">
        <f>VLOOKUP($B67,[1]Sheet8!$D$2:$E$93,2,0)</f>
        <v>2241</v>
      </c>
      <c r="Y67" s="71">
        <f>VLOOKUP($B67,[1]Sheet8!$P$3:$Q$94,2,0)</f>
        <v>2632</v>
      </c>
      <c r="Z67" s="71">
        <f>VLOOKUP($B67,[1]Sheet8!$J$3:$K$94,2,0)</f>
        <v>462</v>
      </c>
      <c r="AA67" s="71">
        <f>VLOOKUP($B67,[1]Sheet7!$H$2:$M$93,6,0)</f>
        <v>42617</v>
      </c>
      <c r="AB67" s="57">
        <v>2330.3014285715299</v>
      </c>
      <c r="AC67" s="57">
        <v>2330.3014285715299</v>
      </c>
      <c r="AD67" s="75">
        <v>0</v>
      </c>
      <c r="AE67" s="57">
        <f t="shared" ref="AE67:AE93" si="77">AC67*1.1</f>
        <v>2563.3315714286832</v>
      </c>
      <c r="AF67" s="75">
        <v>1.1000000000000001</v>
      </c>
      <c r="AG67" s="77">
        <f>VLOOKUP($B67,[2]Sheet1!$E$2:$I$96,4,0)</f>
        <v>1655</v>
      </c>
      <c r="AH67" s="77">
        <f>VLOOKUP($B67,[2]Sheet1!$E$2:$I$96,5,0)</f>
        <v>241</v>
      </c>
      <c r="AI67" s="77">
        <f t="shared" ref="AI67:AI86" si="78">AG67*7</f>
        <v>11585</v>
      </c>
      <c r="AJ67" s="61">
        <f t="shared" ref="AJ67:AJ86" si="79">AH67*7</f>
        <v>1687</v>
      </c>
      <c r="AK67" s="61">
        <f>VLOOKUP(B67,[2]Sheet9!$D$2:$F$94,3,0)</f>
        <v>129</v>
      </c>
      <c r="AL67" s="61">
        <f>VLOOKUP(B67,[2]Sheet9!$J$3:$L$95,3,0)</f>
        <v>31</v>
      </c>
      <c r="AM67" s="61">
        <f>VLOOKUP(B67,[2]Sheet9!$P$3:$R$95,3,0)</f>
        <v>105</v>
      </c>
      <c r="AN67" s="70">
        <f t="shared" ref="AN67:AN93" si="80">J67+AC67*30+AC67*12-S67</f>
        <v>-10187.109999998182</v>
      </c>
      <c r="AO67" s="71">
        <f t="shared" ref="AO67:AO93" si="81">IF(AN67/8&gt;0,AN67/8,0)</f>
        <v>0</v>
      </c>
      <c r="AP67" s="71">
        <f t="shared" ref="AP67:AP93" si="82">M67+P67*AK67/7-X67</f>
        <v>-483.42857142857156</v>
      </c>
      <c r="AQ67" s="71">
        <f t="shared" ref="AQ67:AQ93" si="83">N67+P67*AL67/7-Z67</f>
        <v>197.57142857142856</v>
      </c>
      <c r="AR67" s="71">
        <f t="shared" ref="AR67:AR93" si="84">O67+P67*AM67/7-Y67</f>
        <v>-819</v>
      </c>
      <c r="AS67" s="61" t="str">
        <f t="shared" ref="AS67:AS93" si="85">IF(AN67&gt;15000,"Out of Stock Risk",IF(AN67&lt;-15000,"Full of Stock Risk","Normal"))</f>
        <v>Normal</v>
      </c>
      <c r="AT67" s="57">
        <v>16312.110000000701</v>
      </c>
      <c r="AU67" s="57">
        <f>AC67*7</f>
        <v>16312.11000000071</v>
      </c>
      <c r="AV67" s="57">
        <f t="shared" ref="AV67:AV84" si="86">AC67*0.3*7+AI67*0.7</f>
        <v>13003.133000000213</v>
      </c>
      <c r="AW67" s="57">
        <v>16312.110000000701</v>
      </c>
      <c r="AX67" s="57">
        <f>AI67*0.4+AC67*7*0.6</f>
        <v>14421.266000000425</v>
      </c>
      <c r="AY67" s="61">
        <f t="shared" si="48"/>
        <v>2039.0137500000876</v>
      </c>
      <c r="AZ67" s="61">
        <f>IFERROR(VLOOKUP(B67,[3]Sheet2!$E$4:$F$17,2,0),0)</f>
        <v>0</v>
      </c>
      <c r="BA67" s="61">
        <f t="shared" ref="BA67:BA83" si="87">AU67/8</f>
        <v>2039.0137500000887</v>
      </c>
      <c r="BB67" s="61">
        <f t="shared" si="65"/>
        <v>1625.3916250000266</v>
      </c>
      <c r="BC67" s="61">
        <f t="shared" si="67"/>
        <v>2039.0137500000876</v>
      </c>
      <c r="BD67" s="61">
        <f t="shared" si="66"/>
        <v>1802.6582500000532</v>
      </c>
      <c r="BE67" s="61">
        <f t="shared" ref="BE67:BE93" si="88">AY67/6</f>
        <v>339.8356250000146</v>
      </c>
      <c r="BF67" s="61">
        <f t="shared" ref="BF67:BF93" si="89">BA67/6</f>
        <v>339.83562500001477</v>
      </c>
      <c r="BG67" s="61">
        <f t="shared" ref="BG67:BG93" si="90">BB67/6</f>
        <v>270.89860416667108</v>
      </c>
      <c r="BH67" s="61">
        <f t="shared" ref="BH67:BH93" si="91">BC67/6</f>
        <v>339.8356250000146</v>
      </c>
      <c r="BI67" s="61">
        <f t="shared" ref="BI67:BI93" si="92">BP67/6</f>
        <v>300.44304166667553</v>
      </c>
      <c r="BJ67" s="61">
        <f t="shared" ref="BJ67:BJ93" si="93">AY67/1200</f>
        <v>1.699178125000073</v>
      </c>
      <c r="BK67" s="61">
        <f t="shared" ref="BK67:BK93" si="94">BA67/1200</f>
        <v>1.6991781250000739</v>
      </c>
      <c r="BL67" s="61">
        <f t="shared" ref="BL67:BL93" si="95">BB67/1200</f>
        <v>1.3544930208333554</v>
      </c>
      <c r="BM67" s="61">
        <f t="shared" ref="BM67:BM93" si="96">BC67/1200</f>
        <v>1.699178125000073</v>
      </c>
      <c r="BN67" s="61">
        <f t="shared" ref="BN67:BN93" si="97">BP67/1200</f>
        <v>1.5022152083333777</v>
      </c>
      <c r="BO67">
        <f t="shared" ref="BO67:BO93" si="98">S67+SUM(AT67:AX67)-AB67*9-AC67*30</f>
        <v>325221.42328571546</v>
      </c>
      <c r="BP67" s="42">
        <f t="shared" ref="BP67:BP93" si="99">BD67-AZ67</f>
        <v>1802.6582500000532</v>
      </c>
      <c r="BQ67" s="42">
        <f t="shared" si="72"/>
        <v>30</v>
      </c>
      <c r="BR67" s="42">
        <f t="shared" si="73"/>
        <v>40</v>
      </c>
      <c r="BS67" s="42">
        <f>ROUNDUP(AM67,-1)-100</f>
        <v>10</v>
      </c>
      <c r="BT67">
        <f>VLOOKUP($B67,'[4]Food Monitor'!$A$4:$AD$95,16,0)</f>
        <v>150</v>
      </c>
      <c r="BU67">
        <f>VLOOKUP($B67,'[4]Food Monitor'!$A$4:$AD$95,27,0)</f>
        <v>60</v>
      </c>
    </row>
    <row r="68" spans="1:73" s="44" customFormat="1" ht="16.5" hidden="1">
      <c r="A68" s="51" t="s">
        <v>105</v>
      </c>
      <c r="B68" s="51" t="s">
        <v>256</v>
      </c>
      <c r="C68" s="52" t="s">
        <v>257</v>
      </c>
      <c r="D68" s="51" t="s">
        <v>231</v>
      </c>
      <c r="E68" s="59" t="s">
        <v>18</v>
      </c>
      <c r="F68" s="59" t="s">
        <v>18</v>
      </c>
      <c r="G68" s="63">
        <v>336.68047200000001</v>
      </c>
      <c r="H68" s="61" t="s">
        <v>109</v>
      </c>
      <c r="I68" s="61" t="s">
        <v>128</v>
      </c>
      <c r="J68" s="70">
        <v>215991.90137931</v>
      </c>
      <c r="K68" s="70">
        <f t="shared" si="71"/>
        <v>283973.43137931055</v>
      </c>
      <c r="L68" s="71">
        <f t="shared" si="74"/>
        <v>66.72150404625306</v>
      </c>
      <c r="M68" s="71">
        <v>1620</v>
      </c>
      <c r="N68" s="71">
        <v>720</v>
      </c>
      <c r="O68" s="71">
        <v>2112</v>
      </c>
      <c r="P68" s="51">
        <f t="shared" si="75"/>
        <v>27</v>
      </c>
      <c r="Q68" s="73">
        <v>45191</v>
      </c>
      <c r="R68" s="73">
        <v>45218</v>
      </c>
      <c r="S68" s="70">
        <f>VLOOKUP(B68,[1]Sheet7!$H$2:$M$93,5,0)</f>
        <v>382393.080000002</v>
      </c>
      <c r="T68" s="71">
        <f t="shared" si="76"/>
        <v>155.76092871690508</v>
      </c>
      <c r="U68" s="70">
        <f>VLOOKUP($B68,[1]Sheet7!$H$2:$M$93,4,0)</f>
        <v>297101.67000000033</v>
      </c>
      <c r="V68" s="70">
        <f>VLOOKUP($B68,[1]Sheet7!$H$2:$M$93,2,0)</f>
        <v>85325.389999999898</v>
      </c>
      <c r="W68" s="70">
        <f>VLOOKUP($B68,[1]Sheet7!$H$2:$M$93,3,0)</f>
        <v>0</v>
      </c>
      <c r="X68" s="71">
        <f>VLOOKUP($B68,[1]Sheet8!$D$2:$E$93,2,0)</f>
        <v>2478</v>
      </c>
      <c r="Y68" s="71">
        <f>VLOOKUP($B68,[1]Sheet8!$P$3:$Q$94,2,0)</f>
        <v>3275</v>
      </c>
      <c r="Z68" s="71">
        <f>VLOOKUP($B68,[1]Sheet8!$J$3:$K$94,2,0)</f>
        <v>525</v>
      </c>
      <c r="AA68" s="71">
        <f>VLOOKUP($B68,[1]Sheet7!$H$2:$M$93,6,0)</f>
        <v>46905</v>
      </c>
      <c r="AB68" s="57">
        <v>3237.21571428574</v>
      </c>
      <c r="AC68" s="57">
        <v>3237.21571428574</v>
      </c>
      <c r="AD68" s="75">
        <v>0</v>
      </c>
      <c r="AE68" s="57">
        <f t="shared" si="77"/>
        <v>3560.9372857143144</v>
      </c>
      <c r="AF68" s="75">
        <v>1.1000000000000001</v>
      </c>
      <c r="AG68" s="77">
        <f>VLOOKUP($B68,[2]Sheet1!$E$2:$I$96,4,0)</f>
        <v>2455</v>
      </c>
      <c r="AH68" s="77">
        <f>VLOOKUP($B68,[2]Sheet1!$E$2:$I$96,5,0)</f>
        <v>316</v>
      </c>
      <c r="AI68" s="77">
        <f t="shared" si="78"/>
        <v>17185</v>
      </c>
      <c r="AJ68" s="61">
        <f t="shared" si="79"/>
        <v>2212</v>
      </c>
      <c r="AK68" s="61">
        <f>VLOOKUP(B68,[2]Sheet9!$D$2:$F$94,3,0)</f>
        <v>180</v>
      </c>
      <c r="AL68" s="61">
        <f>VLOOKUP(B68,[2]Sheet9!$J$3:$L$95,3,0)</f>
        <v>34</v>
      </c>
      <c r="AM68" s="61">
        <f>VLOOKUP(B68,[2]Sheet9!$P$3:$R$95,3,0)</f>
        <v>155</v>
      </c>
      <c r="AN68" s="70">
        <f t="shared" si="80"/>
        <v>-30438.11862069089</v>
      </c>
      <c r="AO68" s="71">
        <f t="shared" si="81"/>
        <v>0</v>
      </c>
      <c r="AP68" s="71">
        <f t="shared" si="82"/>
        <v>-163.71428571428578</v>
      </c>
      <c r="AQ68" s="71">
        <f t="shared" si="83"/>
        <v>326.14285714285711</v>
      </c>
      <c r="AR68" s="71">
        <f t="shared" si="84"/>
        <v>-565.14285714285688</v>
      </c>
      <c r="AS68" s="61" t="str">
        <f t="shared" si="85"/>
        <v>Full of Stock Risk</v>
      </c>
      <c r="AT68" s="57">
        <v>22660.510000000198</v>
      </c>
      <c r="AU68" s="57">
        <f>AC68*7</f>
        <v>22660.51000000018</v>
      </c>
      <c r="AV68" s="57">
        <f t="shared" si="86"/>
        <v>18827.653000000053</v>
      </c>
      <c r="AW68" s="57">
        <v>22660.510000000198</v>
      </c>
      <c r="AX68" s="57">
        <f>AI68*0.6+AC68*7*0.4</f>
        <v>19375.204000000071</v>
      </c>
      <c r="AY68" s="61">
        <f t="shared" si="48"/>
        <v>2832.5637500000248</v>
      </c>
      <c r="AZ68" s="61">
        <f>IFERROR(VLOOKUP(B68,[3]Sheet2!$E$4:$F$17,2,0),0)</f>
        <v>0</v>
      </c>
      <c r="BA68" s="61">
        <f t="shared" si="87"/>
        <v>2832.5637500000225</v>
      </c>
      <c r="BB68" s="61">
        <f t="shared" si="65"/>
        <v>2353.4566250000066</v>
      </c>
      <c r="BC68" s="61">
        <f t="shared" si="67"/>
        <v>2832.5637500000248</v>
      </c>
      <c r="BD68" s="61">
        <f t="shared" si="66"/>
        <v>2421.9005000000088</v>
      </c>
      <c r="BE68" s="61">
        <f t="shared" si="88"/>
        <v>472.09395833333747</v>
      </c>
      <c r="BF68" s="61">
        <f t="shared" si="89"/>
        <v>472.09395833333707</v>
      </c>
      <c r="BG68" s="61">
        <f t="shared" si="90"/>
        <v>392.24277083333442</v>
      </c>
      <c r="BH68" s="61">
        <f t="shared" si="91"/>
        <v>472.09395833333747</v>
      </c>
      <c r="BI68" s="61">
        <f t="shared" si="92"/>
        <v>403.65008333333481</v>
      </c>
      <c r="BJ68" s="61">
        <f t="shared" si="93"/>
        <v>2.3604697916666875</v>
      </c>
      <c r="BK68" s="61">
        <f t="shared" si="94"/>
        <v>2.3604697916666852</v>
      </c>
      <c r="BL68" s="61">
        <f t="shared" si="95"/>
        <v>1.9612138541666722</v>
      </c>
      <c r="BM68" s="61">
        <f t="shared" si="96"/>
        <v>2.3604697916666875</v>
      </c>
      <c r="BN68" s="61">
        <f t="shared" si="97"/>
        <v>2.0182504166666742</v>
      </c>
      <c r="BO68">
        <f t="shared" si="98"/>
        <v>362326.05414285883</v>
      </c>
      <c r="BP68" s="42">
        <f t="shared" si="99"/>
        <v>2421.9005000000088</v>
      </c>
      <c r="BQ68" s="42">
        <f t="shared" si="72"/>
        <v>80</v>
      </c>
      <c r="BR68" s="42">
        <f t="shared" si="73"/>
        <v>40</v>
      </c>
      <c r="BS68" s="42">
        <f>ROUNDUP(AM68,-1)-50</f>
        <v>110</v>
      </c>
      <c r="BT68">
        <f>VLOOKUP($B68,'[4]Food Monitor'!$A$4:$AD$95,16,0)</f>
        <v>130</v>
      </c>
      <c r="BU68">
        <f>VLOOKUP($B68,'[4]Food Monitor'!$A$4:$AD$95,27,0)</f>
        <v>80</v>
      </c>
    </row>
    <row r="69" spans="1:73" s="44" customFormat="1" ht="16.5" hidden="1">
      <c r="A69" s="51" t="s">
        <v>105</v>
      </c>
      <c r="B69" s="51" t="s">
        <v>258</v>
      </c>
      <c r="C69" s="52" t="s">
        <v>259</v>
      </c>
      <c r="D69" s="51" t="s">
        <v>11</v>
      </c>
      <c r="E69" s="59" t="s">
        <v>17</v>
      </c>
      <c r="F69" s="59" t="s">
        <v>17</v>
      </c>
      <c r="G69" s="63">
        <v>280.10254500000002</v>
      </c>
      <c r="H69" s="61" t="s">
        <v>109</v>
      </c>
      <c r="I69" s="61" t="s">
        <v>166</v>
      </c>
      <c r="J69" s="70">
        <v>184252.26137930999</v>
      </c>
      <c r="K69" s="70">
        <f t="shared" si="71"/>
        <v>247117.17137931078</v>
      </c>
      <c r="L69" s="71">
        <f t="shared" si="74"/>
        <v>61.549399958823798</v>
      </c>
      <c r="M69" s="71">
        <v>1620</v>
      </c>
      <c r="N69" s="71">
        <v>450</v>
      </c>
      <c r="O69" s="71">
        <v>2112</v>
      </c>
      <c r="P69" s="51">
        <f t="shared" si="75"/>
        <v>27</v>
      </c>
      <c r="Q69" s="73">
        <v>45191</v>
      </c>
      <c r="R69" s="73">
        <v>45218</v>
      </c>
      <c r="S69" s="70">
        <f>VLOOKUP(B69,[1]Sheet7!$H$2:$M$93,5,0)</f>
        <v>357081.27000000316</v>
      </c>
      <c r="T69" s="71">
        <f t="shared" si="76"/>
        <v>167.01649672591356</v>
      </c>
      <c r="U69" s="70">
        <f>VLOOKUP($B69,[1]Sheet7!$H$2:$M$93,4,0)</f>
        <v>254597.30000000162</v>
      </c>
      <c r="V69" s="70">
        <f>VLOOKUP($B69,[1]Sheet7!$H$2:$M$93,2,0)</f>
        <v>102574.96999999964</v>
      </c>
      <c r="W69" s="70">
        <f>VLOOKUP($B69,[1]Sheet7!$H$2:$M$93,3,0)</f>
        <v>0</v>
      </c>
      <c r="X69" s="71">
        <f>VLOOKUP($B69,[1]Sheet8!$D$2:$E$93,2,0)</f>
        <v>2722</v>
      </c>
      <c r="Y69" s="71">
        <f>VLOOKUP($B69,[1]Sheet8!$P$3:$Q$94,2,0)</f>
        <v>3288</v>
      </c>
      <c r="Z69" s="71">
        <f>VLOOKUP($B69,[1]Sheet8!$J$3:$K$94,2,0)</f>
        <v>548</v>
      </c>
      <c r="AA69" s="71">
        <f>VLOOKUP($B69,[1]Sheet7!$H$2:$M$93,6,0)</f>
        <v>43639</v>
      </c>
      <c r="AB69" s="57">
        <v>2993.56714285718</v>
      </c>
      <c r="AC69" s="57">
        <v>2993.56714285718</v>
      </c>
      <c r="AD69" s="75">
        <v>0</v>
      </c>
      <c r="AE69" s="57">
        <f t="shared" si="77"/>
        <v>3292.9238571428982</v>
      </c>
      <c r="AF69" s="75">
        <v>1.1000000000000001</v>
      </c>
      <c r="AG69" s="77">
        <f>VLOOKUP($B69,[2]Sheet1!$E$2:$I$96,4,0)</f>
        <v>2138</v>
      </c>
      <c r="AH69" s="77">
        <f>VLOOKUP($B69,[2]Sheet1!$E$2:$I$96,5,0)</f>
        <v>301</v>
      </c>
      <c r="AI69" s="77">
        <f t="shared" si="78"/>
        <v>14966</v>
      </c>
      <c r="AJ69" s="61">
        <f t="shared" si="79"/>
        <v>2107</v>
      </c>
      <c r="AK69" s="61">
        <f>VLOOKUP(B69,[2]Sheet9!$D$2:$F$94,3,0)</f>
        <v>116</v>
      </c>
      <c r="AL69" s="61">
        <f>VLOOKUP(B69,[2]Sheet9!$J$3:$L$95,3,0)</f>
        <v>32</v>
      </c>
      <c r="AM69" s="61">
        <f>VLOOKUP(B69,[2]Sheet9!$P$3:$R$95,3,0)</f>
        <v>186</v>
      </c>
      <c r="AN69" s="70">
        <f t="shared" si="80"/>
        <v>-47099.188620691595</v>
      </c>
      <c r="AO69" s="71">
        <f t="shared" si="81"/>
        <v>0</v>
      </c>
      <c r="AP69" s="71">
        <f t="shared" si="82"/>
        <v>-654.57142857142844</v>
      </c>
      <c r="AQ69" s="71">
        <f t="shared" si="83"/>
        <v>25.428571428571445</v>
      </c>
      <c r="AR69" s="71">
        <f t="shared" si="84"/>
        <v>-458.57142857142844</v>
      </c>
      <c r="AS69" s="61" t="str">
        <f t="shared" si="85"/>
        <v>Full of Stock Risk</v>
      </c>
      <c r="AT69" s="57">
        <v>20954.970000000201</v>
      </c>
      <c r="AU69" s="57">
        <f>AG69*7</f>
        <v>14966</v>
      </c>
      <c r="AV69" s="57">
        <f t="shared" si="86"/>
        <v>16762.691000000079</v>
      </c>
      <c r="AW69" s="57">
        <v>20954.970000000201</v>
      </c>
      <c r="AX69" s="57">
        <f>AI69*0.4+AC69*7*0.6</f>
        <v>18559.382000000154</v>
      </c>
      <c r="AY69" s="61">
        <f t="shared" si="48"/>
        <v>2619.3712500000252</v>
      </c>
      <c r="AZ69" s="61">
        <f>IFERROR(VLOOKUP(B69,[3]Sheet2!$E$4:$F$17,2,0),0)</f>
        <v>0</v>
      </c>
      <c r="BA69" s="61">
        <f t="shared" si="87"/>
        <v>1870.75</v>
      </c>
      <c r="BB69" s="61">
        <f t="shared" si="65"/>
        <v>2095.3363750000099</v>
      </c>
      <c r="BC69" s="61">
        <f t="shared" si="67"/>
        <v>2619.3712500000252</v>
      </c>
      <c r="BD69" s="61">
        <f t="shared" si="66"/>
        <v>2319.9227500000193</v>
      </c>
      <c r="BE69" s="61">
        <f t="shared" si="88"/>
        <v>436.56187500000419</v>
      </c>
      <c r="BF69" s="61">
        <f t="shared" si="89"/>
        <v>311.79166666666669</v>
      </c>
      <c r="BG69" s="61">
        <f t="shared" si="90"/>
        <v>349.22272916666833</v>
      </c>
      <c r="BH69" s="61">
        <f t="shared" si="91"/>
        <v>436.56187500000419</v>
      </c>
      <c r="BI69" s="61">
        <f t="shared" si="92"/>
        <v>386.65379166666986</v>
      </c>
      <c r="BJ69" s="61">
        <f t="shared" si="93"/>
        <v>2.182809375000021</v>
      </c>
      <c r="BK69" s="61">
        <f t="shared" si="94"/>
        <v>1.5589583333333332</v>
      </c>
      <c r="BL69" s="61">
        <f t="shared" si="95"/>
        <v>1.7461136458333415</v>
      </c>
      <c r="BM69" s="61">
        <f t="shared" si="96"/>
        <v>2.182809375000021</v>
      </c>
      <c r="BN69" s="61">
        <f t="shared" si="97"/>
        <v>1.9332689583333493</v>
      </c>
      <c r="BO69">
        <f t="shared" si="98"/>
        <v>332530.16442857374</v>
      </c>
      <c r="BP69" s="42">
        <f t="shared" si="99"/>
        <v>2319.9227500000193</v>
      </c>
      <c r="BQ69" s="42">
        <f t="shared" si="72"/>
        <v>20</v>
      </c>
      <c r="BR69" s="42">
        <f t="shared" si="73"/>
        <v>40</v>
      </c>
      <c r="BS69" s="42">
        <f>ROUNDUP(AM69,-1)</f>
        <v>190</v>
      </c>
      <c r="BT69">
        <f>VLOOKUP($B69,'[4]Food Monitor'!$A$4:$AD$95,16,0)</f>
        <v>200</v>
      </c>
      <c r="BU69">
        <f>VLOOKUP($B69,'[4]Food Monitor'!$A$4:$AD$95,27,0)</f>
        <v>130</v>
      </c>
    </row>
    <row r="70" spans="1:73" s="44" customFormat="1" ht="16.5" hidden="1">
      <c r="A70" s="51" t="s">
        <v>105</v>
      </c>
      <c r="B70" s="51" t="s">
        <v>260</v>
      </c>
      <c r="C70" s="51" t="s">
        <v>261</v>
      </c>
      <c r="D70" s="51" t="s">
        <v>20</v>
      </c>
      <c r="E70" s="51" t="s">
        <v>20</v>
      </c>
      <c r="F70" s="59" t="s">
        <v>169</v>
      </c>
      <c r="G70" s="60">
        <v>266.82</v>
      </c>
      <c r="H70" s="61" t="s">
        <v>116</v>
      </c>
      <c r="I70" s="61" t="s">
        <v>151</v>
      </c>
      <c r="J70" s="70">
        <v>350540.66</v>
      </c>
      <c r="K70" s="70">
        <f t="shared" si="71"/>
        <v>555450.02000000898</v>
      </c>
      <c r="L70" s="71">
        <f t="shared" si="74"/>
        <v>35.924927294681297</v>
      </c>
      <c r="M70" s="71">
        <v>1300</v>
      </c>
      <c r="N70" s="71">
        <v>400</v>
      </c>
      <c r="O70" s="71">
        <v>2600</v>
      </c>
      <c r="P70" s="51">
        <f t="shared" si="75"/>
        <v>20</v>
      </c>
      <c r="Q70" s="73">
        <v>45191</v>
      </c>
      <c r="R70" s="73">
        <v>45211</v>
      </c>
      <c r="S70" s="70">
        <f>VLOOKUP(B70,[1]Sheet7!$H$2:$M$93,5,0)</f>
        <v>459594.70000000251</v>
      </c>
      <c r="T70" s="71">
        <f t="shared" si="76"/>
        <v>77.074408854603803</v>
      </c>
      <c r="U70" s="70">
        <f>VLOOKUP($B70,[1]Sheet7!$H$2:$M$93,4,0)</f>
        <v>418870.76000000117</v>
      </c>
      <c r="V70" s="70">
        <f>VLOOKUP($B70,[1]Sheet7!$H$2:$M$93,2,0)</f>
        <v>41085.729999999945</v>
      </c>
      <c r="W70" s="70">
        <f>VLOOKUP($B70,[1]Sheet7!$H$2:$M$93,3,0)</f>
        <v>0</v>
      </c>
      <c r="X70" s="71">
        <f>VLOOKUP($B70,[1]Sheet8!$D$2:$E$93,2,0)</f>
        <v>2100</v>
      </c>
      <c r="Y70" s="71">
        <f>VLOOKUP($B70,[1]Sheet8!$P$3:$Q$94,2,0)</f>
        <v>4918</v>
      </c>
      <c r="Z70" s="71">
        <f>VLOOKUP($B70,[1]Sheet8!$J$3:$K$94,2,0)</f>
        <v>572</v>
      </c>
      <c r="AA70" s="71">
        <f>VLOOKUP($B70,[1]Sheet7!$H$2:$M$93,6,0)</f>
        <v>60747</v>
      </c>
      <c r="AB70" s="57">
        <v>9757.5885714289998</v>
      </c>
      <c r="AC70" s="57">
        <v>9757.5885714289998</v>
      </c>
      <c r="AD70" s="75">
        <v>0</v>
      </c>
      <c r="AE70" s="57">
        <f t="shared" si="77"/>
        <v>10733.3474285719</v>
      </c>
      <c r="AF70" s="75">
        <v>1.1000000000000001</v>
      </c>
      <c r="AG70" s="77">
        <f>VLOOKUP($B70,[2]Sheet1!$E$2:$I$96,4,0)</f>
        <v>5963</v>
      </c>
      <c r="AH70" s="77">
        <f>VLOOKUP($B70,[2]Sheet1!$E$2:$I$96,5,0)</f>
        <v>930</v>
      </c>
      <c r="AI70" s="77">
        <f t="shared" si="78"/>
        <v>41741</v>
      </c>
      <c r="AJ70" s="61">
        <f t="shared" si="79"/>
        <v>6510</v>
      </c>
      <c r="AK70" s="61">
        <f>VLOOKUP(B70,[2]Sheet9!$D$2:$F$94,3,0)</f>
        <v>265</v>
      </c>
      <c r="AL70" s="61">
        <f>VLOOKUP(B70,[2]Sheet9!$J$3:$L$95,3,0)</f>
        <v>94</v>
      </c>
      <c r="AM70" s="61">
        <f>VLOOKUP(B70,[2]Sheet9!$P$3:$R$95,3,0)</f>
        <v>378</v>
      </c>
      <c r="AN70" s="70">
        <f t="shared" si="80"/>
        <v>300764.68000001553</v>
      </c>
      <c r="AO70" s="71">
        <f t="shared" si="81"/>
        <v>37595.585000001942</v>
      </c>
      <c r="AP70" s="71">
        <f t="shared" si="82"/>
        <v>-42.857142857143117</v>
      </c>
      <c r="AQ70" s="71">
        <f t="shared" si="83"/>
        <v>96.571428571428555</v>
      </c>
      <c r="AR70" s="71">
        <f t="shared" si="84"/>
        <v>-1238</v>
      </c>
      <c r="AS70" s="61" t="str">
        <f t="shared" si="85"/>
        <v>Out of Stock Risk</v>
      </c>
      <c r="AT70" s="57">
        <v>90000</v>
      </c>
      <c r="AU70" s="57">
        <f t="shared" ref="AU70:AU81" si="100">AC70*7</f>
        <v>68303.120000002993</v>
      </c>
      <c r="AV70" s="57">
        <f t="shared" si="86"/>
        <v>49709.636000000894</v>
      </c>
      <c r="AW70" s="57">
        <v>90000</v>
      </c>
      <c r="AX70" s="57">
        <f>AI70*0.6+AC70*7*0.4</f>
        <v>52365.848000001199</v>
      </c>
      <c r="AY70" s="82">
        <v>11000</v>
      </c>
      <c r="AZ70" s="61">
        <f>IFERROR(VLOOKUP(B70,[3]Sheet2!$E$4:$F$17,2,0),0)</f>
        <v>0</v>
      </c>
      <c r="BA70" s="61">
        <f t="shared" si="87"/>
        <v>8537.8900000003741</v>
      </c>
      <c r="BB70" s="61">
        <v>12500</v>
      </c>
      <c r="BC70" s="83">
        <v>12500</v>
      </c>
      <c r="BD70" s="61">
        <f t="shared" si="66"/>
        <v>6545.7310000001498</v>
      </c>
      <c r="BE70" s="61">
        <f t="shared" si="88"/>
        <v>1833.3333333333333</v>
      </c>
      <c r="BF70" s="61">
        <f t="shared" si="89"/>
        <v>1422.9816666667291</v>
      </c>
      <c r="BG70" s="61">
        <f t="shared" si="90"/>
        <v>2083.3333333333335</v>
      </c>
      <c r="BH70" s="61">
        <f t="shared" si="91"/>
        <v>2083.3333333333335</v>
      </c>
      <c r="BI70" s="61">
        <f t="shared" si="92"/>
        <v>1090.9551666666916</v>
      </c>
      <c r="BJ70" s="61">
        <f t="shared" si="93"/>
        <v>9.1666666666666661</v>
      </c>
      <c r="BK70" s="61">
        <f t="shared" si="94"/>
        <v>7.1149083333336449</v>
      </c>
      <c r="BL70" s="61">
        <f t="shared" si="95"/>
        <v>10.416666666666666</v>
      </c>
      <c r="BM70" s="61">
        <f t="shared" si="96"/>
        <v>10.416666666666666</v>
      </c>
      <c r="BN70" s="61">
        <f t="shared" si="97"/>
        <v>5.4547758333334579</v>
      </c>
      <c r="BO70">
        <f t="shared" si="98"/>
        <v>429427.34971427673</v>
      </c>
      <c r="BP70" s="42">
        <f t="shared" si="99"/>
        <v>6545.7310000001498</v>
      </c>
      <c r="BQ70" s="42">
        <f>ROUNDUP(AK70,-1)-50</f>
        <v>220</v>
      </c>
      <c r="BR70" s="42">
        <f t="shared" si="73"/>
        <v>100</v>
      </c>
      <c r="BS70" s="42">
        <f t="shared" ref="BS70:BS84" si="101">ROUNDUP(AM70,-1)-100</f>
        <v>280</v>
      </c>
      <c r="BT70">
        <f>VLOOKUP($B70,'[4]Food Monitor'!$A$4:$AD$95,16,0)</f>
        <v>600</v>
      </c>
      <c r="BU70">
        <f>VLOOKUP($B70,'[4]Food Monitor'!$A$4:$AD$95,27,0)</f>
        <v>280</v>
      </c>
    </row>
    <row r="71" spans="1:73" ht="16.5" hidden="1">
      <c r="A71" s="51" t="s">
        <v>105</v>
      </c>
      <c r="B71" s="51" t="s">
        <v>262</v>
      </c>
      <c r="C71" s="51" t="s">
        <v>263</v>
      </c>
      <c r="D71" s="51" t="s">
        <v>20</v>
      </c>
      <c r="E71" s="51" t="s">
        <v>20</v>
      </c>
      <c r="F71" s="59" t="s">
        <v>169</v>
      </c>
      <c r="G71" s="60">
        <v>325.35000000000002</v>
      </c>
      <c r="H71" s="61" t="s">
        <v>109</v>
      </c>
      <c r="I71" s="61" t="s">
        <v>151</v>
      </c>
      <c r="J71" s="70">
        <v>375024.17</v>
      </c>
      <c r="K71" s="70">
        <f t="shared" si="71"/>
        <v>458158.51999999973</v>
      </c>
      <c r="L71" s="71">
        <f t="shared" si="74"/>
        <v>94.732292608290336</v>
      </c>
      <c r="M71" s="71">
        <v>1800</v>
      </c>
      <c r="N71" s="71">
        <v>500</v>
      </c>
      <c r="O71" s="71">
        <v>2800</v>
      </c>
      <c r="P71" s="51">
        <f t="shared" si="75"/>
        <v>20</v>
      </c>
      <c r="Q71" s="73">
        <v>45191</v>
      </c>
      <c r="R71" s="73">
        <v>45211</v>
      </c>
      <c r="S71" s="70">
        <f>VLOOKUP(B71,[1]Sheet7!$H$2:$M$93,5,0)</f>
        <v>373941.02000000305</v>
      </c>
      <c r="T71" s="71">
        <f t="shared" si="76"/>
        <v>122.2029477124193</v>
      </c>
      <c r="U71" s="70">
        <f>VLOOKUP($B71,[1]Sheet7!$H$2:$M$93,4,0)</f>
        <v>352909.76000000216</v>
      </c>
      <c r="V71" s="70">
        <f>VLOOKUP($B71,[1]Sheet7!$H$2:$M$93,2,0)</f>
        <v>0</v>
      </c>
      <c r="W71" s="70">
        <f>VLOOKUP($B71,[1]Sheet7!$H$2:$M$93,3,0)</f>
        <v>21019.299999999988</v>
      </c>
      <c r="X71" s="71">
        <f>VLOOKUP($B71,[1]Sheet8!$D$2:$E$93,2,0)</f>
        <v>2615</v>
      </c>
      <c r="Y71" s="71">
        <f>VLOOKUP($B71,[1]Sheet8!$P$3:$Q$94,2,0)</f>
        <v>4551</v>
      </c>
      <c r="Z71" s="71">
        <f>VLOOKUP($B71,[1]Sheet8!$J$3:$K$94,2,0)</f>
        <v>522</v>
      </c>
      <c r="AA71" s="71">
        <f>VLOOKUP($B71,[1]Sheet7!$H$2:$M$93,6,0)</f>
        <v>46045</v>
      </c>
      <c r="AB71" s="57">
        <v>3958.7785714285601</v>
      </c>
      <c r="AC71" s="57">
        <v>3958.7785714285601</v>
      </c>
      <c r="AD71" s="75">
        <v>0</v>
      </c>
      <c r="AE71" s="57">
        <f t="shared" si="77"/>
        <v>4354.6564285714167</v>
      </c>
      <c r="AF71" s="75">
        <v>1.1000000000000001</v>
      </c>
      <c r="AG71" s="77">
        <f>VLOOKUP($B71,[2]Sheet1!$E$2:$I$96,4,0)</f>
        <v>3060</v>
      </c>
      <c r="AH71" s="77">
        <f>VLOOKUP($B71,[2]Sheet1!$E$2:$I$96,5,0)</f>
        <v>457</v>
      </c>
      <c r="AI71" s="77">
        <f t="shared" si="78"/>
        <v>21420</v>
      </c>
      <c r="AJ71" s="61">
        <f t="shared" si="79"/>
        <v>3199</v>
      </c>
      <c r="AK71" s="61">
        <f>VLOOKUP(B71,[2]Sheet9!$D$2:$F$94,3,0)</f>
        <v>205</v>
      </c>
      <c r="AL71" s="61">
        <f>VLOOKUP(B71,[2]Sheet9!$J$3:$L$95,3,0)</f>
        <v>80</v>
      </c>
      <c r="AM71" s="61">
        <f>VLOOKUP(B71,[2]Sheet9!$P$3:$R$95,3,0)</f>
        <v>224</v>
      </c>
      <c r="AN71" s="70">
        <f t="shared" si="80"/>
        <v>167351.84999999648</v>
      </c>
      <c r="AO71" s="71">
        <f t="shared" si="81"/>
        <v>20918.981249999561</v>
      </c>
      <c r="AP71" s="71">
        <f t="shared" si="82"/>
        <v>-229.28571428571422</v>
      </c>
      <c r="AQ71" s="71">
        <f t="shared" si="83"/>
        <v>206.57142857142856</v>
      </c>
      <c r="AR71" s="71">
        <f t="shared" si="84"/>
        <v>-1111</v>
      </c>
      <c r="AS71" s="61" t="str">
        <f t="shared" si="85"/>
        <v>Out of Stock Risk</v>
      </c>
      <c r="AT71" s="57">
        <v>40000</v>
      </c>
      <c r="AU71" s="57">
        <f t="shared" si="100"/>
        <v>27711.449999999921</v>
      </c>
      <c r="AV71" s="57">
        <f t="shared" si="86"/>
        <v>23307.434999999976</v>
      </c>
      <c r="AW71" s="57">
        <v>40000</v>
      </c>
      <c r="AX71" s="57">
        <f>AI71*1.22</f>
        <v>26132.399999999998</v>
      </c>
      <c r="AY71" s="61">
        <f>AT71/8</f>
        <v>5000</v>
      </c>
      <c r="AZ71" s="61">
        <f>IFERROR(VLOOKUP(B71,[3]Sheet2!$E$4:$F$17,2,0),0)</f>
        <v>0</v>
      </c>
      <c r="BA71" s="61">
        <f t="shared" si="87"/>
        <v>3463.9312499999901</v>
      </c>
      <c r="BB71" s="61">
        <f>AV71/8</f>
        <v>2913.429374999997</v>
      </c>
      <c r="BC71" s="61">
        <f>AW71/8</f>
        <v>5000</v>
      </c>
      <c r="BD71" s="61">
        <f t="shared" si="66"/>
        <v>3266.5499999999997</v>
      </c>
      <c r="BE71" s="61">
        <f t="shared" si="88"/>
        <v>833.33333333333337</v>
      </c>
      <c r="BF71" s="61">
        <f t="shared" si="89"/>
        <v>577.32187499999839</v>
      </c>
      <c r="BG71" s="61">
        <f t="shared" si="90"/>
        <v>485.57156249999952</v>
      </c>
      <c r="BH71" s="61">
        <f t="shared" si="91"/>
        <v>833.33333333333337</v>
      </c>
      <c r="BI71" s="61">
        <f t="shared" si="92"/>
        <v>544.42499999999995</v>
      </c>
      <c r="BJ71" s="61">
        <f t="shared" si="93"/>
        <v>4.166666666666667</v>
      </c>
      <c r="BK71" s="61">
        <f t="shared" si="94"/>
        <v>2.8866093749999919</v>
      </c>
      <c r="BL71" s="61">
        <f t="shared" si="95"/>
        <v>2.4278578124999974</v>
      </c>
      <c r="BM71" s="61">
        <f t="shared" si="96"/>
        <v>4.166666666666667</v>
      </c>
      <c r="BN71" s="61">
        <f t="shared" si="97"/>
        <v>2.7221249999999997</v>
      </c>
      <c r="BO71">
        <f t="shared" si="98"/>
        <v>376699.94071428909</v>
      </c>
      <c r="BP71" s="42">
        <f t="shared" si="99"/>
        <v>3266.5499999999997</v>
      </c>
      <c r="BQ71" s="42">
        <f>ROUNDUP(AK71,-1)-100</f>
        <v>110</v>
      </c>
      <c r="BR71" s="42">
        <f t="shared" si="73"/>
        <v>80</v>
      </c>
      <c r="BS71" s="42">
        <f t="shared" si="101"/>
        <v>130</v>
      </c>
      <c r="BT71">
        <f>VLOOKUP($B71,'[4]Food Monitor'!$A$4:$AD$95,16,0)</f>
        <v>400</v>
      </c>
      <c r="BU71">
        <f>VLOOKUP($B71,'[4]Food Monitor'!$A$4:$AD$95,27,0)</f>
        <v>220</v>
      </c>
    </row>
    <row r="72" spans="1:73" ht="16.5" hidden="1">
      <c r="A72" s="51" t="s">
        <v>105</v>
      </c>
      <c r="B72" s="51" t="s">
        <v>264</v>
      </c>
      <c r="C72" s="52" t="s">
        <v>265</v>
      </c>
      <c r="D72" s="51" t="s">
        <v>20</v>
      </c>
      <c r="E72" s="51" t="s">
        <v>20</v>
      </c>
      <c r="F72" s="59" t="s">
        <v>266</v>
      </c>
      <c r="G72" s="60">
        <v>319.12180499999999</v>
      </c>
      <c r="H72" s="61" t="s">
        <v>109</v>
      </c>
      <c r="I72" s="61" t="s">
        <v>151</v>
      </c>
      <c r="J72" s="70">
        <v>220561.69</v>
      </c>
      <c r="K72" s="70">
        <f t="shared" si="71"/>
        <v>419097.13000000606</v>
      </c>
      <c r="L72" s="71">
        <f t="shared" si="74"/>
        <v>23.329817034177168</v>
      </c>
      <c r="M72" s="71">
        <v>2300</v>
      </c>
      <c r="N72" s="71">
        <v>500</v>
      </c>
      <c r="O72" s="71">
        <v>2300</v>
      </c>
      <c r="P72" s="51">
        <f t="shared" si="75"/>
        <v>20</v>
      </c>
      <c r="Q72" s="73">
        <v>45191</v>
      </c>
      <c r="R72" s="73">
        <v>45211</v>
      </c>
      <c r="S72" s="70">
        <f>VLOOKUP(B72,[1]Sheet7!$H$2:$M$93,5,0)</f>
        <v>397458.19000000285</v>
      </c>
      <c r="T72" s="71">
        <f t="shared" si="76"/>
        <v>66.220958013995812</v>
      </c>
      <c r="U72" s="70">
        <f>VLOOKUP($B72,[1]Sheet7!$H$2:$M$93,4,0)</f>
        <v>250745.89000000054</v>
      </c>
      <c r="V72" s="70">
        <f>VLOOKUP($B72,[1]Sheet7!$H$2:$M$93,2,0)</f>
        <v>146712.3000000008</v>
      </c>
      <c r="W72" s="70">
        <f>VLOOKUP($B72,[1]Sheet7!$H$2:$M$93,3,0)</f>
        <v>0</v>
      </c>
      <c r="X72" s="71">
        <f>VLOOKUP($B72,[1]Sheet8!$D$2:$E$93,2,0)</f>
        <v>3000</v>
      </c>
      <c r="Y72" s="71">
        <f>VLOOKUP($B72,[1]Sheet8!$P$3:$Q$94,2,0)</f>
        <v>4468</v>
      </c>
      <c r="Z72" s="71">
        <f>VLOOKUP($B72,[1]Sheet8!$J$3:$K$94,2,0)</f>
        <v>650</v>
      </c>
      <c r="AA72" s="71">
        <f>VLOOKUP($B72,[1]Sheet7!$H$2:$M$93,6,0)</f>
        <v>51212</v>
      </c>
      <c r="AB72" s="57">
        <v>9454.0685714288593</v>
      </c>
      <c r="AC72" s="57">
        <v>9454.0685714288593</v>
      </c>
      <c r="AD72" s="75">
        <v>0</v>
      </c>
      <c r="AE72" s="57">
        <f t="shared" si="77"/>
        <v>10399.475428571746</v>
      </c>
      <c r="AF72" s="75">
        <v>1.1000000000000001</v>
      </c>
      <c r="AG72" s="77">
        <f>VLOOKUP($B72,[2]Sheet1!$E$2:$I$96,4,0)</f>
        <v>6002</v>
      </c>
      <c r="AH72" s="77">
        <f>VLOOKUP($B72,[2]Sheet1!$E$2:$I$96,5,0)</f>
        <v>810</v>
      </c>
      <c r="AI72" s="77">
        <f t="shared" si="78"/>
        <v>42014</v>
      </c>
      <c r="AJ72" s="61">
        <f t="shared" si="79"/>
        <v>5670</v>
      </c>
      <c r="AK72" s="61">
        <f>VLOOKUP(B72,[2]Sheet9!$D$2:$F$94,3,0)</f>
        <v>395</v>
      </c>
      <c r="AL72" s="61">
        <f>VLOOKUP(B72,[2]Sheet9!$J$3:$L$95,3,0)</f>
        <v>127</v>
      </c>
      <c r="AM72" s="61">
        <f>VLOOKUP(B72,[2]Sheet9!$P$3:$R$95,3,0)</f>
        <v>412</v>
      </c>
      <c r="AN72" s="70">
        <f t="shared" si="80"/>
        <v>220174.3800000092</v>
      </c>
      <c r="AO72" s="71">
        <f t="shared" si="81"/>
        <v>27521.79750000115</v>
      </c>
      <c r="AP72" s="71">
        <f t="shared" si="82"/>
        <v>428.57142857142844</v>
      </c>
      <c r="AQ72" s="71">
        <f t="shared" si="83"/>
        <v>212.85714285714289</v>
      </c>
      <c r="AR72" s="71">
        <f t="shared" si="84"/>
        <v>-990.85714285714312</v>
      </c>
      <c r="AS72" s="61" t="str">
        <f t="shared" si="85"/>
        <v>Out of Stock Risk</v>
      </c>
      <c r="AT72" s="57">
        <v>66178.480000002004</v>
      </c>
      <c r="AU72" s="57">
        <f t="shared" si="100"/>
        <v>66178.480000002019</v>
      </c>
      <c r="AV72" s="57">
        <f t="shared" si="86"/>
        <v>49263.344000000609</v>
      </c>
      <c r="AW72" s="57">
        <v>66178.480000002004</v>
      </c>
      <c r="AX72" s="57">
        <f>AI72*1.1</f>
        <v>46215.4</v>
      </c>
      <c r="AY72" s="82">
        <v>10000</v>
      </c>
      <c r="AZ72" s="61">
        <f>IFERROR(VLOOKUP(B72,[3]Sheet2!$E$4:$F$17,2,0),0)</f>
        <v>0</v>
      </c>
      <c r="BA72" s="61">
        <f t="shared" si="87"/>
        <v>8272.3100000002523</v>
      </c>
      <c r="BB72" s="61">
        <f t="shared" ref="BB72:BB78" si="102">AV72/8</f>
        <v>6157.9180000000761</v>
      </c>
      <c r="BC72" s="61">
        <v>10500</v>
      </c>
      <c r="BD72" s="61">
        <f t="shared" si="66"/>
        <v>5776.9250000000002</v>
      </c>
      <c r="BE72" s="61">
        <f t="shared" si="88"/>
        <v>1666.6666666666667</v>
      </c>
      <c r="BF72" s="61">
        <f t="shared" si="89"/>
        <v>1378.7183333333753</v>
      </c>
      <c r="BG72" s="61">
        <f t="shared" si="90"/>
        <v>1026.3196666666793</v>
      </c>
      <c r="BH72" s="61">
        <f t="shared" si="91"/>
        <v>1750</v>
      </c>
      <c r="BI72" s="61">
        <f t="shared" si="92"/>
        <v>962.82083333333333</v>
      </c>
      <c r="BJ72" s="61">
        <f t="shared" si="93"/>
        <v>8.3333333333333339</v>
      </c>
      <c r="BK72" s="61">
        <f t="shared" si="94"/>
        <v>6.8935916666668771</v>
      </c>
      <c r="BL72" s="61">
        <f t="shared" si="95"/>
        <v>5.1315983333333968</v>
      </c>
      <c r="BM72" s="61">
        <f t="shared" si="96"/>
        <v>8.75</v>
      </c>
      <c r="BN72" s="61">
        <f t="shared" si="97"/>
        <v>4.8141041666666666</v>
      </c>
      <c r="BO72">
        <f t="shared" si="98"/>
        <v>322763.6997142841</v>
      </c>
      <c r="BP72" s="42">
        <f t="shared" si="99"/>
        <v>5776.9250000000002</v>
      </c>
      <c r="BQ72" s="42">
        <f>ROUNDUP(AK72,-1)</f>
        <v>400</v>
      </c>
      <c r="BR72" s="42">
        <f t="shared" si="73"/>
        <v>130</v>
      </c>
      <c r="BS72" s="42">
        <f t="shared" si="101"/>
        <v>320</v>
      </c>
      <c r="BT72">
        <f>VLOOKUP($B72,'[4]Food Monitor'!$A$4:$AD$95,16,0)</f>
        <v>500</v>
      </c>
      <c r="BU72">
        <f>VLOOKUP($B72,'[4]Food Monitor'!$A$4:$AD$95,27,0)</f>
        <v>210</v>
      </c>
    </row>
    <row r="73" spans="1:73" ht="17.25" hidden="1" customHeight="1">
      <c r="A73" s="51" t="s">
        <v>105</v>
      </c>
      <c r="B73" s="51" t="s">
        <v>267</v>
      </c>
      <c r="C73" s="51" t="s">
        <v>268</v>
      </c>
      <c r="D73" s="51" t="s">
        <v>20</v>
      </c>
      <c r="E73" s="51" t="s">
        <v>20</v>
      </c>
      <c r="F73" s="59" t="s">
        <v>108</v>
      </c>
      <c r="G73" s="60">
        <v>417.41</v>
      </c>
      <c r="H73" s="61" t="s">
        <v>116</v>
      </c>
      <c r="I73" s="61" t="s">
        <v>110</v>
      </c>
      <c r="J73" s="70">
        <v>418399.83</v>
      </c>
      <c r="K73" s="70">
        <f t="shared" si="71"/>
        <v>543963.46500000416</v>
      </c>
      <c r="L73" s="71">
        <f t="shared" si="74"/>
        <v>69.975645655684573</v>
      </c>
      <c r="M73" s="71">
        <v>2500</v>
      </c>
      <c r="N73" s="71">
        <v>600</v>
      </c>
      <c r="O73" s="71">
        <v>3200</v>
      </c>
      <c r="P73" s="51">
        <f t="shared" si="75"/>
        <v>20</v>
      </c>
      <c r="Q73" s="73">
        <v>45191</v>
      </c>
      <c r="R73" s="73">
        <v>45211</v>
      </c>
      <c r="S73" s="70">
        <f>VLOOKUP(B73,[1]Sheet7!$H$2:$M$93,5,0)</f>
        <v>529840.95000000275</v>
      </c>
      <c r="T73" s="71">
        <f t="shared" si="76"/>
        <v>102.42430891165721</v>
      </c>
      <c r="U73" s="70">
        <f>VLOOKUP($B73,[1]Sheet7!$H$2:$M$93,4,0)</f>
        <v>448485.77000000107</v>
      </c>
      <c r="V73" s="70">
        <f>VLOOKUP($B73,[1]Sheet7!$H$2:$M$93,2,0)</f>
        <v>82079.419999999809</v>
      </c>
      <c r="W73" s="70">
        <f>VLOOKUP($B73,[1]Sheet7!$H$2:$M$93,3,0)</f>
        <v>0</v>
      </c>
      <c r="X73" s="71">
        <f>VLOOKUP($B73,[1]Sheet8!$D$2:$E$93,2,0)</f>
        <v>3297</v>
      </c>
      <c r="Y73" s="71">
        <f>VLOOKUP($B73,[1]Sheet8!$P$3:$Q$94,2,0)</f>
        <v>6044</v>
      </c>
      <c r="Z73" s="71">
        <f>VLOOKUP($B73,[1]Sheet8!$J$3:$K$94,2,0)</f>
        <v>632</v>
      </c>
      <c r="AA73" s="71">
        <f>VLOOKUP($B73,[1]Sheet7!$H$2:$M$93,6,0)</f>
        <v>67139</v>
      </c>
      <c r="AB73" s="57">
        <v>5979.2207142859097</v>
      </c>
      <c r="AC73" s="57">
        <v>5979.2207142859097</v>
      </c>
      <c r="AD73" s="75">
        <v>0</v>
      </c>
      <c r="AE73" s="57">
        <f t="shared" si="77"/>
        <v>6577.1427857145009</v>
      </c>
      <c r="AF73" s="75">
        <v>1.1000000000000001</v>
      </c>
      <c r="AG73" s="77">
        <f>VLOOKUP($B73,[2]Sheet1!$E$2:$I$96,4,0)</f>
        <v>5173</v>
      </c>
      <c r="AH73" s="77">
        <f>VLOOKUP($B73,[2]Sheet1!$E$2:$I$96,5,0)</f>
        <v>724</v>
      </c>
      <c r="AI73" s="77">
        <f t="shared" si="78"/>
        <v>36211</v>
      </c>
      <c r="AJ73" s="61">
        <f t="shared" si="79"/>
        <v>5068</v>
      </c>
      <c r="AK73" s="61">
        <f>VLOOKUP(B73,[2]Sheet9!$D$2:$F$94,3,0)</f>
        <v>309</v>
      </c>
      <c r="AL73" s="61">
        <f>VLOOKUP(B73,[2]Sheet9!$J$3:$L$95,3,0)</f>
        <v>75</v>
      </c>
      <c r="AM73" s="61">
        <f>VLOOKUP(B73,[2]Sheet9!$P$3:$R$95,3,0)</f>
        <v>299</v>
      </c>
      <c r="AN73" s="70">
        <f t="shared" si="80"/>
        <v>139686.15000000549</v>
      </c>
      <c r="AO73" s="71">
        <f t="shared" si="81"/>
        <v>17460.768750000687</v>
      </c>
      <c r="AP73" s="71">
        <f t="shared" si="82"/>
        <v>85.857142857143117</v>
      </c>
      <c r="AQ73" s="71">
        <f t="shared" si="83"/>
        <v>182.28571428571422</v>
      </c>
      <c r="AR73" s="71">
        <f t="shared" si="84"/>
        <v>-1989.7142857142858</v>
      </c>
      <c r="AS73" s="61" t="str">
        <f t="shared" si="85"/>
        <v>Out of Stock Risk</v>
      </c>
      <c r="AT73" s="57">
        <v>50000</v>
      </c>
      <c r="AU73" s="57">
        <f t="shared" si="100"/>
        <v>41854.545000001366</v>
      </c>
      <c r="AV73" s="57">
        <f t="shared" si="86"/>
        <v>37904.063500000404</v>
      </c>
      <c r="AW73" s="57">
        <v>50000</v>
      </c>
      <c r="AX73" s="57">
        <f>AI73*1.17</f>
        <v>42366.869999999995</v>
      </c>
      <c r="AY73" s="61">
        <f>AT73/8</f>
        <v>6250</v>
      </c>
      <c r="AZ73" s="61">
        <f>IFERROR(VLOOKUP(B73,[3]Sheet2!$E$4:$F$17,2,0),0)</f>
        <v>0</v>
      </c>
      <c r="BA73" s="61">
        <f t="shared" si="87"/>
        <v>5231.8181250001708</v>
      </c>
      <c r="BB73" s="61">
        <f t="shared" si="102"/>
        <v>4738.0079375000505</v>
      </c>
      <c r="BC73" s="61">
        <f>AW73/8</f>
        <v>6250</v>
      </c>
      <c r="BD73" s="61">
        <f t="shared" si="66"/>
        <v>5295.8587499999994</v>
      </c>
      <c r="BE73" s="61">
        <f t="shared" si="88"/>
        <v>1041.6666666666667</v>
      </c>
      <c r="BF73" s="61">
        <f t="shared" si="89"/>
        <v>871.9696875000285</v>
      </c>
      <c r="BG73" s="61">
        <f t="shared" si="90"/>
        <v>789.66798958334175</v>
      </c>
      <c r="BH73" s="61">
        <f t="shared" si="91"/>
        <v>1041.6666666666667</v>
      </c>
      <c r="BI73" s="61">
        <f t="shared" si="92"/>
        <v>882.64312499999994</v>
      </c>
      <c r="BJ73" s="61">
        <f t="shared" si="93"/>
        <v>5.208333333333333</v>
      </c>
      <c r="BK73" s="61">
        <f t="shared" si="94"/>
        <v>4.3598484375001423</v>
      </c>
      <c r="BL73" s="61">
        <f t="shared" si="95"/>
        <v>3.9483399479167089</v>
      </c>
      <c r="BM73" s="61">
        <f t="shared" si="96"/>
        <v>5.208333333333333</v>
      </c>
      <c r="BN73" s="61">
        <f t="shared" si="97"/>
        <v>4.4132156249999994</v>
      </c>
      <c r="BO73">
        <f t="shared" si="98"/>
        <v>518776.82064285415</v>
      </c>
      <c r="BP73" s="42">
        <f t="shared" si="99"/>
        <v>5295.8587499999994</v>
      </c>
      <c r="BQ73" s="42">
        <f>ROUNDUP(AK73,-1)-50</f>
        <v>260</v>
      </c>
      <c r="BR73" s="42">
        <f t="shared" si="73"/>
        <v>80</v>
      </c>
      <c r="BS73" s="42">
        <f t="shared" si="101"/>
        <v>200</v>
      </c>
      <c r="BT73">
        <f>VLOOKUP($B73,'[4]Food Monitor'!$A$4:$AD$95,16,0)</f>
        <v>470</v>
      </c>
      <c r="BU73">
        <f>VLOOKUP($B73,'[4]Food Monitor'!$A$4:$AD$95,27,0)</f>
        <v>200</v>
      </c>
    </row>
    <row r="74" spans="1:73" ht="16.5" hidden="1">
      <c r="A74" s="51" t="s">
        <v>105</v>
      </c>
      <c r="B74" s="51" t="s">
        <v>269</v>
      </c>
      <c r="C74" s="52" t="s">
        <v>270</v>
      </c>
      <c r="D74" s="51" t="s">
        <v>20</v>
      </c>
      <c r="E74" s="51" t="s">
        <v>20</v>
      </c>
      <c r="F74" s="59" t="s">
        <v>108</v>
      </c>
      <c r="G74" s="60">
        <v>511.25</v>
      </c>
      <c r="H74" s="61" t="s">
        <v>109</v>
      </c>
      <c r="I74" s="61" t="s">
        <v>110</v>
      </c>
      <c r="J74" s="70">
        <v>343576.96</v>
      </c>
      <c r="K74" s="70">
        <f t="shared" si="71"/>
        <v>402261.16000000079</v>
      </c>
      <c r="L74" s="71">
        <f t="shared" si="74"/>
        <v>122.94818980236433</v>
      </c>
      <c r="M74" s="71">
        <v>3200</v>
      </c>
      <c r="N74" s="71">
        <v>720</v>
      </c>
      <c r="O74" s="71">
        <v>3200</v>
      </c>
      <c r="P74" s="51">
        <f t="shared" si="75"/>
        <v>20</v>
      </c>
      <c r="Q74" s="73">
        <v>45191</v>
      </c>
      <c r="R74" s="73">
        <v>45211</v>
      </c>
      <c r="S74" s="70">
        <f>VLOOKUP(B74,[1]Sheet7!$H$2:$M$93,5,0)</f>
        <v>573763.0100000028</v>
      </c>
      <c r="T74" s="71">
        <f t="shared" si="76"/>
        <v>82.16568953172029</v>
      </c>
      <c r="U74" s="70">
        <f>VLOOKUP($B74,[1]Sheet7!$H$2:$M$93,4,0)</f>
        <v>475121.4900000018</v>
      </c>
      <c r="V74" s="70">
        <f>VLOOKUP($B74,[1]Sheet7!$H$2:$M$93,2,0)</f>
        <v>99221.5799999999</v>
      </c>
      <c r="W74" s="70">
        <f>VLOOKUP($B74,[1]Sheet7!$H$2:$M$93,3,0)</f>
        <v>0</v>
      </c>
      <c r="X74" s="71">
        <f>VLOOKUP($B74,[1]Sheet8!$D$2:$E$93,2,0)</f>
        <v>3033</v>
      </c>
      <c r="Y74" s="71">
        <f>VLOOKUP($B74,[1]Sheet8!$P$3:$Q$94,2,0)</f>
        <v>7103</v>
      </c>
      <c r="Z74" s="71">
        <f>VLOOKUP($B74,[1]Sheet8!$J$3:$K$94,2,0)</f>
        <v>432</v>
      </c>
      <c r="AA74" s="71">
        <f>VLOOKUP($B74,[1]Sheet7!$H$2:$M$93,6,0)</f>
        <v>74870</v>
      </c>
      <c r="AB74" s="57">
        <v>2794.48571428575</v>
      </c>
      <c r="AC74" s="57">
        <v>2794.48571428575</v>
      </c>
      <c r="AD74" s="75">
        <v>0</v>
      </c>
      <c r="AE74" s="57">
        <f t="shared" si="77"/>
        <v>3073.9342857143251</v>
      </c>
      <c r="AF74" s="75">
        <v>1.1000000000000001</v>
      </c>
      <c r="AG74" s="77">
        <f>VLOOKUP($B74,[2]Sheet1!$E$2:$I$96,4,0)</f>
        <v>6983</v>
      </c>
      <c r="AH74" s="77">
        <f>VLOOKUP($B74,[2]Sheet1!$E$2:$I$96,5,0)</f>
        <v>1020</v>
      </c>
      <c r="AI74" s="77">
        <f t="shared" si="78"/>
        <v>48881</v>
      </c>
      <c r="AJ74" s="61">
        <f t="shared" si="79"/>
        <v>7140</v>
      </c>
      <c r="AK74" s="61">
        <f>VLOOKUP(B74,[2]Sheet9!$D$2:$F$94,3,0)</f>
        <v>329</v>
      </c>
      <c r="AL74" s="61">
        <f>VLOOKUP(B74,[2]Sheet9!$J$3:$L$95,3,0)</f>
        <v>137</v>
      </c>
      <c r="AM74" s="61">
        <f>VLOOKUP(B74,[2]Sheet9!$P$3:$R$95,3,0)</f>
        <v>356</v>
      </c>
      <c r="AN74" s="70">
        <f t="shared" si="80"/>
        <v>-112817.6500000013</v>
      </c>
      <c r="AO74" s="71">
        <f t="shared" si="81"/>
        <v>0</v>
      </c>
      <c r="AP74" s="71">
        <f t="shared" si="82"/>
        <v>1107</v>
      </c>
      <c r="AQ74" s="71">
        <f t="shared" si="83"/>
        <v>679.42857142857156</v>
      </c>
      <c r="AR74" s="71">
        <f t="shared" si="84"/>
        <v>-2885.8571428571431</v>
      </c>
      <c r="AS74" s="61" t="str">
        <f t="shared" si="85"/>
        <v>Full of Stock Risk</v>
      </c>
      <c r="AT74" s="57">
        <v>80000</v>
      </c>
      <c r="AU74" s="57">
        <f t="shared" si="100"/>
        <v>19561.400000000249</v>
      </c>
      <c r="AV74" s="57">
        <f t="shared" si="86"/>
        <v>40085.120000000068</v>
      </c>
      <c r="AW74" s="57">
        <v>80000</v>
      </c>
      <c r="AX74" s="57">
        <f>AI74*1.17</f>
        <v>57190.77</v>
      </c>
      <c r="AY74" s="61">
        <f>AT74/8</f>
        <v>10000</v>
      </c>
      <c r="AZ74" s="61">
        <f>IFERROR(VLOOKUP(B74,[3]Sheet2!$E$4:$F$17,2,0),0)</f>
        <v>0</v>
      </c>
      <c r="BA74" s="61">
        <f t="shared" si="87"/>
        <v>2445.1750000000311</v>
      </c>
      <c r="BB74" s="61">
        <f t="shared" si="102"/>
        <v>5010.6400000000085</v>
      </c>
      <c r="BC74" s="61">
        <f>AW74/8</f>
        <v>10000</v>
      </c>
      <c r="BD74" s="61">
        <f t="shared" si="66"/>
        <v>7148.8462499999996</v>
      </c>
      <c r="BE74" s="61">
        <f t="shared" si="88"/>
        <v>1666.6666666666667</v>
      </c>
      <c r="BF74" s="61">
        <f t="shared" si="89"/>
        <v>407.52916666667187</v>
      </c>
      <c r="BG74" s="61">
        <f t="shared" si="90"/>
        <v>835.10666666666805</v>
      </c>
      <c r="BH74" s="61">
        <f t="shared" si="91"/>
        <v>1666.6666666666667</v>
      </c>
      <c r="BI74" s="61">
        <f t="shared" si="92"/>
        <v>1191.474375</v>
      </c>
      <c r="BJ74" s="61">
        <f t="shared" si="93"/>
        <v>8.3333333333333339</v>
      </c>
      <c r="BK74" s="61">
        <f t="shared" si="94"/>
        <v>2.0376458333333591</v>
      </c>
      <c r="BL74" s="61">
        <f t="shared" si="95"/>
        <v>4.1755333333333402</v>
      </c>
      <c r="BM74" s="61">
        <f t="shared" si="96"/>
        <v>8.3333333333333339</v>
      </c>
      <c r="BN74" s="61">
        <f t="shared" si="97"/>
        <v>5.9573718749999998</v>
      </c>
      <c r="BO74">
        <f t="shared" si="98"/>
        <v>741615.35714285879</v>
      </c>
      <c r="BP74" s="42">
        <f t="shared" si="99"/>
        <v>7148.8462499999996</v>
      </c>
      <c r="BQ74" s="42">
        <f>ROUNDUP(AK74,-1)</f>
        <v>330</v>
      </c>
      <c r="BR74" s="42">
        <f t="shared" si="73"/>
        <v>140</v>
      </c>
      <c r="BS74" s="42">
        <f t="shared" si="101"/>
        <v>260</v>
      </c>
      <c r="BT74">
        <f>VLOOKUP($B74,'[4]Food Monitor'!$A$4:$AD$95,16,0)</f>
        <v>700</v>
      </c>
      <c r="BU74">
        <f>VLOOKUP($B74,'[4]Food Monitor'!$A$4:$AD$95,27,0)</f>
        <v>190</v>
      </c>
    </row>
    <row r="75" spans="1:73" ht="16.5" hidden="1">
      <c r="A75" s="51" t="s">
        <v>105</v>
      </c>
      <c r="B75" s="51" t="s">
        <v>271</v>
      </c>
      <c r="C75" s="52" t="s">
        <v>272</v>
      </c>
      <c r="D75" s="51" t="s">
        <v>20</v>
      </c>
      <c r="E75" s="59" t="s">
        <v>19</v>
      </c>
      <c r="F75" s="59" t="s">
        <v>19</v>
      </c>
      <c r="G75" s="63">
        <v>279</v>
      </c>
      <c r="H75" s="61" t="s">
        <v>121</v>
      </c>
      <c r="I75" s="61" t="s">
        <v>151</v>
      </c>
      <c r="J75" s="70">
        <v>191092.38</v>
      </c>
      <c r="K75" s="70">
        <f t="shared" si="71"/>
        <v>254808.1200000009</v>
      </c>
      <c r="L75" s="71">
        <f t="shared" si="74"/>
        <v>62.981925345290556</v>
      </c>
      <c r="M75" s="71">
        <v>1800</v>
      </c>
      <c r="N75" s="71">
        <v>720</v>
      </c>
      <c r="O75" s="71">
        <v>1408</v>
      </c>
      <c r="P75" s="51">
        <f t="shared" si="75"/>
        <v>27</v>
      </c>
      <c r="Q75" s="73">
        <v>45191</v>
      </c>
      <c r="R75" s="73">
        <v>45218</v>
      </c>
      <c r="S75" s="70">
        <f>VLOOKUP(B75,[1]Sheet7!$H$2:$M$93,5,0)</f>
        <v>283835.75000000058</v>
      </c>
      <c r="T75" s="71">
        <f t="shared" si="76"/>
        <v>128.08472472924214</v>
      </c>
      <c r="U75" s="70">
        <f>VLOOKUP($B75,[1]Sheet7!$H$2:$M$93,4,0)</f>
        <v>271708.63000000047</v>
      </c>
      <c r="V75" s="70">
        <f>VLOOKUP($B75,[1]Sheet7!$H$2:$M$93,2,0)</f>
        <v>12640.449999999993</v>
      </c>
      <c r="W75" s="70">
        <f>VLOOKUP($B75,[1]Sheet7!$H$2:$M$93,3,0)</f>
        <v>0</v>
      </c>
      <c r="X75" s="71">
        <f>VLOOKUP($B75,[1]Sheet8!$D$2:$E$93,2,0)</f>
        <v>2912</v>
      </c>
      <c r="Y75" s="71">
        <f>VLOOKUP($B75,[1]Sheet8!$P$3:$Q$94,2,0)</f>
        <v>3479</v>
      </c>
      <c r="Z75" s="71">
        <f>VLOOKUP($B75,[1]Sheet8!$J$3:$K$94,2,0)</f>
        <v>612</v>
      </c>
      <c r="AA75" s="71">
        <f>VLOOKUP($B75,[1]Sheet7!$H$2:$M$93,6,0)</f>
        <v>33103</v>
      </c>
      <c r="AB75" s="57">
        <v>3034.0828571429001</v>
      </c>
      <c r="AC75" s="57">
        <v>3034.0828571429001</v>
      </c>
      <c r="AD75" s="75">
        <v>0</v>
      </c>
      <c r="AE75" s="57">
        <f t="shared" si="77"/>
        <v>3337.4911428571904</v>
      </c>
      <c r="AF75" s="75">
        <v>1.1000000000000001</v>
      </c>
      <c r="AG75" s="77">
        <f>VLOOKUP($B75,[2]Sheet1!$E$2:$I$96,4,0)</f>
        <v>2216</v>
      </c>
      <c r="AH75" s="77">
        <f>VLOOKUP($B75,[2]Sheet1!$E$2:$I$96,5,0)</f>
        <v>334</v>
      </c>
      <c r="AI75" s="77">
        <f t="shared" si="78"/>
        <v>15512</v>
      </c>
      <c r="AJ75" s="61">
        <f t="shared" si="79"/>
        <v>2338</v>
      </c>
      <c r="AK75" s="61">
        <f>VLOOKUP(B75,[2]Sheet9!$D$2:$F$94,3,0)</f>
        <v>166</v>
      </c>
      <c r="AL75" s="61">
        <f>VLOOKUP(B75,[2]Sheet9!$J$3:$L$95,3,0)</f>
        <v>35</v>
      </c>
      <c r="AM75" s="61">
        <f>VLOOKUP(B75,[2]Sheet9!$P$3:$R$95,3,0)</f>
        <v>193</v>
      </c>
      <c r="AN75" s="70">
        <f t="shared" si="80"/>
        <v>34688.110000001267</v>
      </c>
      <c r="AO75" s="71">
        <f t="shared" si="81"/>
        <v>4336.0137500001583</v>
      </c>
      <c r="AP75" s="71">
        <f t="shared" si="82"/>
        <v>-471.71428571428578</v>
      </c>
      <c r="AQ75" s="71">
        <f t="shared" si="83"/>
        <v>243</v>
      </c>
      <c r="AR75" s="71">
        <f t="shared" si="84"/>
        <v>-1326.5714285714284</v>
      </c>
      <c r="AS75" s="61" t="str">
        <f t="shared" si="85"/>
        <v>Out of Stock Risk</v>
      </c>
      <c r="AT75" s="57">
        <v>21238.5800000003</v>
      </c>
      <c r="AU75" s="57">
        <f t="shared" si="100"/>
        <v>21238.5800000003</v>
      </c>
      <c r="AV75" s="57">
        <f t="shared" si="86"/>
        <v>17229.974000000089</v>
      </c>
      <c r="AW75" s="57">
        <v>21238.5800000003</v>
      </c>
      <c r="AX75" s="57">
        <f>AI75*0.4+AC75*7*0.6</f>
        <v>18947.948000000179</v>
      </c>
      <c r="AY75" s="61">
        <f>AT75/8</f>
        <v>2654.8225000000375</v>
      </c>
      <c r="AZ75" s="61">
        <f>IFERROR(VLOOKUP(B75,[3]Sheet2!$E$4:$F$17,2,0),0)</f>
        <v>0</v>
      </c>
      <c r="BA75" s="61">
        <f t="shared" si="87"/>
        <v>2654.8225000000375</v>
      </c>
      <c r="BB75" s="61">
        <f t="shared" si="102"/>
        <v>2153.7467500000112</v>
      </c>
      <c r="BC75" s="61">
        <f>AW75/8</f>
        <v>2654.8225000000375</v>
      </c>
      <c r="BD75" s="61">
        <f t="shared" si="66"/>
        <v>2368.4935000000223</v>
      </c>
      <c r="BE75" s="61">
        <f t="shared" si="88"/>
        <v>442.47041666667292</v>
      </c>
      <c r="BF75" s="61">
        <f t="shared" si="89"/>
        <v>442.47041666667292</v>
      </c>
      <c r="BG75" s="61">
        <f t="shared" si="90"/>
        <v>358.95779166666853</v>
      </c>
      <c r="BH75" s="61">
        <f t="shared" si="91"/>
        <v>442.47041666667292</v>
      </c>
      <c r="BI75" s="61">
        <f t="shared" si="92"/>
        <v>394.74891666667037</v>
      </c>
      <c r="BJ75" s="61">
        <f t="shared" si="93"/>
        <v>2.2123520833333647</v>
      </c>
      <c r="BK75" s="61">
        <f t="shared" si="94"/>
        <v>2.2123520833333647</v>
      </c>
      <c r="BL75" s="61">
        <f t="shared" si="95"/>
        <v>1.7947889583333427</v>
      </c>
      <c r="BM75" s="61">
        <f t="shared" si="96"/>
        <v>2.2123520833333647</v>
      </c>
      <c r="BN75" s="61">
        <f t="shared" si="97"/>
        <v>1.973744583333352</v>
      </c>
      <c r="BO75">
        <f t="shared" si="98"/>
        <v>265400.18057142862</v>
      </c>
      <c r="BP75" s="42">
        <f t="shared" si="99"/>
        <v>2368.4935000000223</v>
      </c>
      <c r="BQ75" s="42">
        <f>ROUNDUP(AK75,-1)-100</f>
        <v>70</v>
      </c>
      <c r="BR75" s="42">
        <f t="shared" si="73"/>
        <v>40</v>
      </c>
      <c r="BS75" s="42">
        <f t="shared" si="101"/>
        <v>100</v>
      </c>
      <c r="BT75">
        <f>VLOOKUP($B75,'[4]Food Monitor'!$A$4:$AD$95,16,0)</f>
        <v>300</v>
      </c>
      <c r="BU75">
        <f>VLOOKUP($B75,'[4]Food Monitor'!$A$4:$AD$95,27,0)</f>
        <v>140</v>
      </c>
    </row>
    <row r="76" spans="1:73" ht="16.5" hidden="1">
      <c r="A76" s="51" t="s">
        <v>105</v>
      </c>
      <c r="B76" s="51" t="s">
        <v>273</v>
      </c>
      <c r="C76" s="52" t="s">
        <v>274</v>
      </c>
      <c r="D76" s="51" t="s">
        <v>20</v>
      </c>
      <c r="E76" s="51" t="s">
        <v>20</v>
      </c>
      <c r="F76" s="59" t="s">
        <v>108</v>
      </c>
      <c r="G76" s="60">
        <v>523.69000000000005</v>
      </c>
      <c r="H76" s="61" t="s">
        <v>109</v>
      </c>
      <c r="I76" s="61" t="s">
        <v>110</v>
      </c>
      <c r="J76" s="70">
        <v>250000</v>
      </c>
      <c r="K76" s="70">
        <f t="shared" si="71"/>
        <v>321839.60500000039</v>
      </c>
      <c r="L76" s="71">
        <f t="shared" si="74"/>
        <v>73.079466402967725</v>
      </c>
      <c r="M76" s="71">
        <v>2200</v>
      </c>
      <c r="N76" s="71">
        <v>300</v>
      </c>
      <c r="O76" s="71">
        <v>2800</v>
      </c>
      <c r="P76" s="51">
        <f t="shared" si="75"/>
        <v>20</v>
      </c>
      <c r="Q76" s="73">
        <v>45191</v>
      </c>
      <c r="R76" s="73">
        <v>45211</v>
      </c>
      <c r="S76" s="70">
        <f>VLOOKUP(B76,[1]Sheet7!$H$2:$M$93,5,0)</f>
        <v>402268.51000000123</v>
      </c>
      <c r="T76" s="71">
        <f t="shared" si="76"/>
        <v>155.13633243347522</v>
      </c>
      <c r="U76" s="70">
        <f>VLOOKUP($B76,[1]Sheet7!$H$2:$M$93,4,0)</f>
        <v>378961.85000000044</v>
      </c>
      <c r="V76" s="70">
        <f>VLOOKUP($B76,[1]Sheet7!$H$2:$M$93,2,0)</f>
        <v>0</v>
      </c>
      <c r="W76" s="70">
        <f>VLOOKUP($B76,[1]Sheet7!$H$2:$M$93,3,0)</f>
        <v>23343.279999999992</v>
      </c>
      <c r="X76" s="71">
        <f>VLOOKUP($B76,[1]Sheet8!$D$2:$E$93,2,0)</f>
        <v>3198</v>
      </c>
      <c r="Y76" s="71">
        <f>VLOOKUP($B76,[1]Sheet8!$P$3:$Q$94,2,0)</f>
        <v>4480</v>
      </c>
      <c r="Z76" s="71">
        <f>VLOOKUP($B76,[1]Sheet8!$J$3:$K$94,2,0)</f>
        <v>311</v>
      </c>
      <c r="AA76" s="71">
        <f>VLOOKUP($B76,[1]Sheet7!$H$2:$M$93,6,0)</f>
        <v>47751</v>
      </c>
      <c r="AB76" s="57">
        <v>3420.9335714285899</v>
      </c>
      <c r="AC76" s="57">
        <v>3420.9335714285899</v>
      </c>
      <c r="AD76" s="75">
        <v>0</v>
      </c>
      <c r="AE76" s="57">
        <f t="shared" si="77"/>
        <v>3763.0269285714489</v>
      </c>
      <c r="AF76" s="75">
        <v>1.1000000000000001</v>
      </c>
      <c r="AG76" s="77">
        <f>VLOOKUP($B76,[2]Sheet1!$E$2:$I$96,4,0)</f>
        <v>2593</v>
      </c>
      <c r="AH76" s="77">
        <f>VLOOKUP($B76,[2]Sheet1!$E$2:$I$96,5,0)</f>
        <v>377</v>
      </c>
      <c r="AI76" s="77">
        <f t="shared" si="78"/>
        <v>18151</v>
      </c>
      <c r="AJ76" s="61">
        <f t="shared" si="79"/>
        <v>2639</v>
      </c>
      <c r="AK76" s="61">
        <f>VLOOKUP(B76,[2]Sheet9!$D$2:$F$94,3,0)</f>
        <v>187</v>
      </c>
      <c r="AL76" s="61">
        <f>VLOOKUP(B76,[2]Sheet9!$J$3:$L$95,3,0)</f>
        <v>35</v>
      </c>
      <c r="AM76" s="61">
        <f>VLOOKUP(B76,[2]Sheet9!$P$3:$R$95,3,0)</f>
        <v>148</v>
      </c>
      <c r="AN76" s="70">
        <f t="shared" si="80"/>
        <v>-8589.300000000454</v>
      </c>
      <c r="AO76" s="71">
        <f t="shared" si="81"/>
        <v>0</v>
      </c>
      <c r="AP76" s="71">
        <f t="shared" si="82"/>
        <v>-463.71428571428578</v>
      </c>
      <c r="AQ76" s="71">
        <f t="shared" si="83"/>
        <v>89</v>
      </c>
      <c r="AR76" s="71">
        <f t="shared" si="84"/>
        <v>-1257.1428571428573</v>
      </c>
      <c r="AS76" s="61" t="str">
        <f t="shared" si="85"/>
        <v>Normal</v>
      </c>
      <c r="AT76" s="57">
        <v>23946.535000000102</v>
      </c>
      <c r="AU76" s="57">
        <f t="shared" si="100"/>
        <v>23946.535000000127</v>
      </c>
      <c r="AV76" s="57">
        <f t="shared" si="86"/>
        <v>19889.660500000038</v>
      </c>
      <c r="AW76" s="57">
        <v>23946.535000000102</v>
      </c>
      <c r="AX76" s="57">
        <f>AI76*0.4+AC76*7*0.6</f>
        <v>21628.321000000076</v>
      </c>
      <c r="AY76" s="61">
        <f>AT76/8</f>
        <v>2993.3168750000127</v>
      </c>
      <c r="AZ76" s="61">
        <f>IFERROR(VLOOKUP(B76,[3]Sheet2!$E$4:$F$17,2,0),0)</f>
        <v>0</v>
      </c>
      <c r="BA76" s="61">
        <f t="shared" si="87"/>
        <v>2993.3168750000159</v>
      </c>
      <c r="BB76" s="61">
        <f t="shared" si="102"/>
        <v>2486.2075625000048</v>
      </c>
      <c r="BC76" s="61">
        <f>AW76/8</f>
        <v>2993.3168750000127</v>
      </c>
      <c r="BD76" s="61">
        <f t="shared" si="66"/>
        <v>2703.5401250000095</v>
      </c>
      <c r="BE76" s="61">
        <f t="shared" si="88"/>
        <v>498.88614583333543</v>
      </c>
      <c r="BF76" s="61">
        <f t="shared" si="89"/>
        <v>498.886145833336</v>
      </c>
      <c r="BG76" s="61">
        <f t="shared" si="90"/>
        <v>414.36792708333411</v>
      </c>
      <c r="BH76" s="61">
        <f t="shared" si="91"/>
        <v>498.88614583333543</v>
      </c>
      <c r="BI76" s="61">
        <f t="shared" si="92"/>
        <v>450.5900208333349</v>
      </c>
      <c r="BJ76" s="61">
        <f t="shared" si="93"/>
        <v>2.4944307291666772</v>
      </c>
      <c r="BK76" s="61">
        <f t="shared" si="94"/>
        <v>2.4944307291666798</v>
      </c>
      <c r="BL76" s="61">
        <f t="shared" si="95"/>
        <v>2.0718396354166706</v>
      </c>
      <c r="BM76" s="61">
        <f t="shared" si="96"/>
        <v>2.4944307291666772</v>
      </c>
      <c r="BN76" s="61">
        <f t="shared" si="97"/>
        <v>2.2529501041666746</v>
      </c>
      <c r="BO76">
        <f t="shared" si="98"/>
        <v>382209.68721428665</v>
      </c>
      <c r="BP76" s="42">
        <f t="shared" si="99"/>
        <v>2703.5401250000095</v>
      </c>
      <c r="BQ76" s="42">
        <f>ROUNDUP(AK76,-1)-100</f>
        <v>90</v>
      </c>
      <c r="BR76" s="42">
        <f t="shared" si="73"/>
        <v>40</v>
      </c>
      <c r="BS76" s="42">
        <f t="shared" si="101"/>
        <v>50</v>
      </c>
      <c r="BT76">
        <f>VLOOKUP($B76,'[4]Food Monitor'!$A$4:$AD$95,16,0)</f>
        <v>300</v>
      </c>
      <c r="BU76">
        <f>VLOOKUP($B76,'[4]Food Monitor'!$A$4:$AD$95,27,0)</f>
        <v>130</v>
      </c>
    </row>
    <row r="77" spans="1:73" ht="16.5" hidden="1">
      <c r="A77" s="51" t="s">
        <v>105</v>
      </c>
      <c r="B77" s="51" t="s">
        <v>275</v>
      </c>
      <c r="C77" s="52" t="s">
        <v>276</v>
      </c>
      <c r="D77" s="51" t="s">
        <v>20</v>
      </c>
      <c r="E77" s="51" t="s">
        <v>20</v>
      </c>
      <c r="F77" s="59" t="s">
        <v>108</v>
      </c>
      <c r="G77" s="60">
        <v>432.93</v>
      </c>
      <c r="H77" s="61" t="s">
        <v>109</v>
      </c>
      <c r="I77" s="61" t="s">
        <v>151</v>
      </c>
      <c r="J77" s="70">
        <v>521239.9</v>
      </c>
      <c r="K77" s="70">
        <f t="shared" si="71"/>
        <v>721528.1950000074</v>
      </c>
      <c r="L77" s="71">
        <f t="shared" si="74"/>
        <v>54.651410857532113</v>
      </c>
      <c r="M77" s="71">
        <v>3000</v>
      </c>
      <c r="N77" s="71">
        <v>720</v>
      </c>
      <c r="O77" s="71">
        <v>3200</v>
      </c>
      <c r="P77" s="51">
        <f t="shared" si="75"/>
        <v>20</v>
      </c>
      <c r="Q77" s="73">
        <v>45191</v>
      </c>
      <c r="R77" s="73">
        <v>45211</v>
      </c>
      <c r="S77" s="70">
        <f>VLOOKUP(B77,[1]Sheet7!$H$2:$M$93,5,0)</f>
        <v>493651.92000000377</v>
      </c>
      <c r="T77" s="71">
        <f t="shared" si="76"/>
        <v>84.24094197952283</v>
      </c>
      <c r="U77" s="70">
        <f>VLOOKUP($B77,[1]Sheet7!$H$2:$M$93,4,0)</f>
        <v>219758.23000000053</v>
      </c>
      <c r="V77" s="70">
        <f>VLOOKUP($B77,[1]Sheet7!$H$2:$M$93,2,0)</f>
        <v>257641.88000000361</v>
      </c>
      <c r="W77" s="70">
        <f>VLOOKUP($B77,[1]Sheet7!$H$2:$M$93,3,0)</f>
        <v>16467.090000000004</v>
      </c>
      <c r="X77" s="71">
        <f>VLOOKUP($B77,[1]Sheet8!$D$2:$E$93,2,0)</f>
        <v>3225</v>
      </c>
      <c r="Y77" s="71">
        <f>VLOOKUP($B77,[1]Sheet8!$P$3:$Q$94,2,0)</f>
        <v>6717</v>
      </c>
      <c r="Z77" s="71">
        <f>VLOOKUP($B77,[1]Sheet8!$J$3:$K$94,2,0)</f>
        <v>678</v>
      </c>
      <c r="AA77" s="71">
        <f>VLOOKUP($B77,[1]Sheet7!$H$2:$M$93,6,0)</f>
        <v>61430</v>
      </c>
      <c r="AB77" s="57">
        <v>9537.5378571432102</v>
      </c>
      <c r="AC77" s="57">
        <v>9537.5378571432102</v>
      </c>
      <c r="AD77" s="75">
        <v>0</v>
      </c>
      <c r="AE77" s="57">
        <f t="shared" si="77"/>
        <v>10491.291642857532</v>
      </c>
      <c r="AF77" s="75">
        <v>1.1000000000000001</v>
      </c>
      <c r="AG77" s="77">
        <f>VLOOKUP($B77,[2]Sheet1!$E$2:$I$96,4,0)</f>
        <v>5860</v>
      </c>
      <c r="AH77" s="77">
        <f>VLOOKUP($B77,[2]Sheet1!$E$2:$I$96,5,0)</f>
        <v>837</v>
      </c>
      <c r="AI77" s="77">
        <f t="shared" si="78"/>
        <v>41020</v>
      </c>
      <c r="AJ77" s="61">
        <f t="shared" si="79"/>
        <v>5859</v>
      </c>
      <c r="AK77" s="61">
        <f>VLOOKUP(B77,[2]Sheet9!$D$2:$F$94,3,0)</f>
        <v>391</v>
      </c>
      <c r="AL77" s="61">
        <f>VLOOKUP(B77,[2]Sheet9!$J$3:$L$95,3,0)</f>
        <v>123</v>
      </c>
      <c r="AM77" s="61">
        <f>VLOOKUP(B77,[2]Sheet9!$P$3:$R$95,3,0)</f>
        <v>410</v>
      </c>
      <c r="AN77" s="70">
        <f t="shared" si="80"/>
        <v>428164.57000001112</v>
      </c>
      <c r="AO77" s="71">
        <f t="shared" si="81"/>
        <v>53520.571250001391</v>
      </c>
      <c r="AP77" s="71">
        <f t="shared" si="82"/>
        <v>892.14285714285688</v>
      </c>
      <c r="AQ77" s="71">
        <f t="shared" si="83"/>
        <v>393.42857142857156</v>
      </c>
      <c r="AR77" s="71">
        <f t="shared" si="84"/>
        <v>-2345.5714285714284</v>
      </c>
      <c r="AS77" s="61" t="str">
        <f t="shared" si="85"/>
        <v>Out of Stock Risk</v>
      </c>
      <c r="AT77" s="57">
        <v>80000</v>
      </c>
      <c r="AU77" s="57">
        <f t="shared" si="100"/>
        <v>66762.765000002473</v>
      </c>
      <c r="AV77" s="57">
        <f t="shared" si="86"/>
        <v>48742.829500000735</v>
      </c>
      <c r="AW77" s="57">
        <v>80000</v>
      </c>
      <c r="AX77" s="57">
        <f>AI77*0.7+AC77*7*0.3</f>
        <v>48742.829500000735</v>
      </c>
      <c r="AY77" s="82">
        <v>10000</v>
      </c>
      <c r="AZ77" s="61">
        <f>IFERROR(VLOOKUP(B77,[3]Sheet2!$E$4:$F$17,2,0),0)</f>
        <v>0</v>
      </c>
      <c r="BA77" s="61">
        <f t="shared" si="87"/>
        <v>8345.3456250003092</v>
      </c>
      <c r="BB77" s="61">
        <f t="shared" si="102"/>
        <v>6092.8536875000918</v>
      </c>
      <c r="BC77" s="61">
        <v>10000</v>
      </c>
      <c r="BD77" s="61">
        <f t="shared" ref="BD77:BD93" si="103">AX77/8</f>
        <v>6092.8536875000918</v>
      </c>
      <c r="BE77" s="61">
        <f t="shared" si="88"/>
        <v>1666.6666666666667</v>
      </c>
      <c r="BF77" s="61">
        <f t="shared" si="89"/>
        <v>1390.8909375000515</v>
      </c>
      <c r="BG77" s="61">
        <f t="shared" si="90"/>
        <v>1015.4756145833486</v>
      </c>
      <c r="BH77" s="61">
        <f t="shared" si="91"/>
        <v>1666.6666666666667</v>
      </c>
      <c r="BI77" s="61">
        <f t="shared" si="92"/>
        <v>1015.4756145833486</v>
      </c>
      <c r="BJ77" s="61">
        <f t="shared" si="93"/>
        <v>8.3333333333333339</v>
      </c>
      <c r="BK77" s="61">
        <f t="shared" si="94"/>
        <v>6.9544546875002577</v>
      </c>
      <c r="BL77" s="61">
        <f t="shared" si="95"/>
        <v>5.0773780729167433</v>
      </c>
      <c r="BM77" s="61">
        <f t="shared" si="96"/>
        <v>8.3333333333333339</v>
      </c>
      <c r="BN77" s="61">
        <f t="shared" si="97"/>
        <v>5.0773780729167433</v>
      </c>
      <c r="BO77">
        <f t="shared" si="98"/>
        <v>445936.36757142254</v>
      </c>
      <c r="BP77" s="42">
        <f t="shared" si="99"/>
        <v>6092.8536875000918</v>
      </c>
      <c r="BQ77" s="42">
        <f>ROUNDUP(AK77,-1)</f>
        <v>400</v>
      </c>
      <c r="BR77" s="42">
        <f t="shared" si="73"/>
        <v>130</v>
      </c>
      <c r="BS77" s="42">
        <f t="shared" si="101"/>
        <v>310</v>
      </c>
      <c r="BT77">
        <f>VLOOKUP($B77,'[4]Food Monitor'!$A$4:$AD$95,16,0)</f>
        <v>600</v>
      </c>
      <c r="BU77">
        <f>VLOOKUP($B77,'[4]Food Monitor'!$A$4:$AD$95,27,0)</f>
        <v>250</v>
      </c>
    </row>
    <row r="78" spans="1:73" ht="16.5" hidden="1">
      <c r="A78" s="51" t="s">
        <v>105</v>
      </c>
      <c r="B78" s="51" t="s">
        <v>277</v>
      </c>
      <c r="C78" s="52" t="s">
        <v>278</v>
      </c>
      <c r="D78" s="51" t="s">
        <v>11</v>
      </c>
      <c r="E78" s="59" t="s">
        <v>11</v>
      </c>
      <c r="F78" s="59" t="s">
        <v>279</v>
      </c>
      <c r="G78" s="63">
        <v>373</v>
      </c>
      <c r="H78" s="61" t="s">
        <v>121</v>
      </c>
      <c r="I78" s="61" t="s">
        <v>166</v>
      </c>
      <c r="J78" s="70">
        <v>352433.22</v>
      </c>
      <c r="K78" s="70">
        <f t="shared" si="71"/>
        <v>398700.13500000146</v>
      </c>
      <c r="L78" s="71">
        <f t="shared" si="74"/>
        <v>159.96522828461244</v>
      </c>
      <c r="M78" s="71">
        <v>1980</v>
      </c>
      <c r="N78" s="71">
        <v>720</v>
      </c>
      <c r="O78" s="71">
        <v>3168</v>
      </c>
      <c r="P78" s="51">
        <f t="shared" si="75"/>
        <v>27</v>
      </c>
      <c r="Q78" s="73">
        <v>45191</v>
      </c>
      <c r="R78" s="73">
        <v>45218</v>
      </c>
      <c r="S78" s="70">
        <f>VLOOKUP(B78,[1]Sheet7!$H$2:$M$93,5,0)</f>
        <v>469912.50000000378</v>
      </c>
      <c r="T78" s="71">
        <f t="shared" si="76"/>
        <v>332.09363957597441</v>
      </c>
      <c r="U78" s="70">
        <f>VLOOKUP($B78,[1]Sheet7!$H$2:$M$93,4,0)</f>
        <v>363279.76000000088</v>
      </c>
      <c r="V78" s="70">
        <f>VLOOKUP($B78,[1]Sheet7!$H$2:$M$93,2,0)</f>
        <v>108703.20999999966</v>
      </c>
      <c r="W78" s="70">
        <f>VLOOKUP($B78,[1]Sheet7!$H$2:$M$93,3,0)</f>
        <v>0</v>
      </c>
      <c r="X78" s="71">
        <f>VLOOKUP($B78,[1]Sheet8!$D$2:$E$93,2,0)</f>
        <v>3265</v>
      </c>
      <c r="Y78" s="71">
        <f>VLOOKUP($B78,[1]Sheet8!$P$3:$Q$94,2,0)</f>
        <v>5884</v>
      </c>
      <c r="Z78" s="71">
        <f>VLOOKUP($B78,[1]Sheet8!$J$3:$K$94,2,0)</f>
        <v>590</v>
      </c>
      <c r="AA78" s="71">
        <f>VLOOKUP($B78,[1]Sheet7!$H$2:$M$93,6,0)</f>
        <v>60410</v>
      </c>
      <c r="AB78" s="57">
        <v>2203.1864285715001</v>
      </c>
      <c r="AC78" s="57">
        <v>2203.1864285715001</v>
      </c>
      <c r="AD78" s="75">
        <v>0</v>
      </c>
      <c r="AE78" s="57">
        <f t="shared" si="77"/>
        <v>2423.5050714286504</v>
      </c>
      <c r="AF78" s="75">
        <v>1.1000000000000001</v>
      </c>
      <c r="AG78" s="77">
        <f>VLOOKUP($B78,[2]Sheet1!$E$2:$I$96,4,0)</f>
        <v>1415</v>
      </c>
      <c r="AH78" s="77">
        <f>VLOOKUP($B78,[2]Sheet1!$E$2:$I$96,5,0)</f>
        <v>179</v>
      </c>
      <c r="AI78" s="77">
        <f t="shared" si="78"/>
        <v>9905</v>
      </c>
      <c r="AJ78" s="61">
        <f t="shared" si="79"/>
        <v>1253</v>
      </c>
      <c r="AK78" s="61">
        <f>VLOOKUP(B78,[2]Sheet9!$D$2:$F$94,3,0)</f>
        <v>117</v>
      </c>
      <c r="AL78" s="61">
        <f>VLOOKUP(B78,[2]Sheet9!$J$3:$L$95,3,0)</f>
        <v>24</v>
      </c>
      <c r="AM78" s="61">
        <f>VLOOKUP(B78,[2]Sheet9!$P$3:$R$95,3,0)</f>
        <v>128</v>
      </c>
      <c r="AN78" s="70">
        <f t="shared" si="80"/>
        <v>-24945.450000000827</v>
      </c>
      <c r="AO78" s="71">
        <f t="shared" si="81"/>
        <v>0</v>
      </c>
      <c r="AP78" s="71">
        <f t="shared" si="82"/>
        <v>-833.71428571428578</v>
      </c>
      <c r="AQ78" s="71">
        <f t="shared" si="83"/>
        <v>222.57142857142856</v>
      </c>
      <c r="AR78" s="71">
        <f t="shared" si="84"/>
        <v>-2222.2857142857142</v>
      </c>
      <c r="AS78" s="61" t="str">
        <f t="shared" si="85"/>
        <v>Full of Stock Risk</v>
      </c>
      <c r="AT78" s="57">
        <v>15422.305000000501</v>
      </c>
      <c r="AU78" s="57">
        <f t="shared" si="100"/>
        <v>15422.305000000501</v>
      </c>
      <c r="AV78" s="57">
        <f t="shared" si="86"/>
        <v>11560.19150000015</v>
      </c>
      <c r="AW78" s="57">
        <v>15422.305000000501</v>
      </c>
      <c r="AX78" s="57">
        <f>AI78*0.6+AC78*7*0.4</f>
        <v>12111.922000000201</v>
      </c>
      <c r="AY78" s="61">
        <f>AT78/8</f>
        <v>1927.7881250000626</v>
      </c>
      <c r="AZ78" s="61">
        <f>IFERROR(VLOOKUP(B78,[3]Sheet2!$E$4:$F$17,2,0),0)</f>
        <v>0</v>
      </c>
      <c r="BA78" s="61">
        <f t="shared" si="87"/>
        <v>1927.7881250000626</v>
      </c>
      <c r="BB78" s="61">
        <f t="shared" si="102"/>
        <v>1445.0239375000187</v>
      </c>
      <c r="BC78" s="61">
        <f>AW78/8</f>
        <v>1927.7881250000626</v>
      </c>
      <c r="BD78" s="61">
        <f t="shared" si="103"/>
        <v>1513.9902500000251</v>
      </c>
      <c r="BE78" s="61">
        <f t="shared" si="88"/>
        <v>321.29802083334374</v>
      </c>
      <c r="BF78" s="61">
        <f t="shared" si="89"/>
        <v>321.29802083334374</v>
      </c>
      <c r="BG78" s="61">
        <f t="shared" si="90"/>
        <v>240.83732291666979</v>
      </c>
      <c r="BH78" s="61">
        <f t="shared" si="91"/>
        <v>321.29802083334374</v>
      </c>
      <c r="BI78" s="61">
        <f t="shared" si="92"/>
        <v>252.3317083333375</v>
      </c>
      <c r="BJ78" s="61">
        <f t="shared" si="93"/>
        <v>1.6064901041667188</v>
      </c>
      <c r="BK78" s="61">
        <f t="shared" si="94"/>
        <v>1.6064901041667188</v>
      </c>
      <c r="BL78" s="61">
        <f t="shared" si="95"/>
        <v>1.2041866145833489</v>
      </c>
      <c r="BM78" s="61">
        <f t="shared" si="96"/>
        <v>1.6064901041667188</v>
      </c>
      <c r="BN78" s="61">
        <f t="shared" si="97"/>
        <v>1.2616585416666874</v>
      </c>
      <c r="BO78">
        <f t="shared" si="98"/>
        <v>453927.25778571708</v>
      </c>
      <c r="BP78" s="42">
        <f t="shared" si="99"/>
        <v>1513.9902500000251</v>
      </c>
      <c r="BQ78" s="42">
        <f>ROUNDUP(AK78,-1)-100</f>
        <v>20</v>
      </c>
      <c r="BR78" s="42">
        <f t="shared" si="73"/>
        <v>30</v>
      </c>
      <c r="BS78" s="42">
        <f t="shared" si="101"/>
        <v>30</v>
      </c>
      <c r="BT78">
        <f>VLOOKUP($B78,'[4]Food Monitor'!$A$4:$AD$95,16,0)</f>
        <v>90</v>
      </c>
      <c r="BU78">
        <f>VLOOKUP($B78,'[4]Food Monitor'!$A$4:$AD$95,27,0)</f>
        <v>0</v>
      </c>
    </row>
    <row r="79" spans="1:73" ht="16.5" hidden="1">
      <c r="A79" s="51" t="s">
        <v>105</v>
      </c>
      <c r="B79" s="51" t="s">
        <v>280</v>
      </c>
      <c r="C79" s="52" t="s">
        <v>281</v>
      </c>
      <c r="D79" s="51" t="s">
        <v>20</v>
      </c>
      <c r="E79" s="51" t="s">
        <v>20</v>
      </c>
      <c r="F79" s="59" t="s">
        <v>282</v>
      </c>
      <c r="G79" s="60">
        <v>362.13589400000001</v>
      </c>
      <c r="H79" s="61" t="s">
        <v>116</v>
      </c>
      <c r="I79" s="61" t="s">
        <v>128</v>
      </c>
      <c r="J79" s="70">
        <v>374372.93</v>
      </c>
      <c r="K79" s="70">
        <f t="shared" si="71"/>
        <v>575432.13500000909</v>
      </c>
      <c r="L79" s="71">
        <f t="shared" si="74"/>
        <v>39.102072098612169</v>
      </c>
      <c r="M79" s="71">
        <v>2300</v>
      </c>
      <c r="N79" s="71">
        <v>500</v>
      </c>
      <c r="O79" s="71">
        <v>3000</v>
      </c>
      <c r="P79" s="51">
        <f t="shared" si="75"/>
        <v>20</v>
      </c>
      <c r="Q79" s="73">
        <v>45191</v>
      </c>
      <c r="R79" s="73">
        <v>45211</v>
      </c>
      <c r="S79" s="70">
        <f>VLOOKUP(B79,[1]Sheet7!$H$2:$M$93,5,0)</f>
        <v>553476.89000000304</v>
      </c>
      <c r="T79" s="71">
        <f t="shared" si="76"/>
        <v>80.086368108812479</v>
      </c>
      <c r="U79" s="70">
        <f>VLOOKUP($B79,[1]Sheet7!$H$2:$M$93,4,0)</f>
        <v>-412915.03999999963</v>
      </c>
      <c r="V79" s="70">
        <f>VLOOKUP($B79,[1]Sheet7!$H$2:$M$93,2,0)</f>
        <v>919574.97000000742</v>
      </c>
      <c r="W79" s="70">
        <f>VLOOKUP($B79,[1]Sheet7!$H$2:$M$93,3,0)</f>
        <v>46547.85999999995</v>
      </c>
      <c r="X79" s="71">
        <f>VLOOKUP($B79,[1]Sheet8!$D$2:$E$93,2,0)</f>
        <v>3143</v>
      </c>
      <c r="Y79" s="71">
        <f>VLOOKUP($B79,[1]Sheet8!$P$3:$Q$94,2,0)</f>
        <v>6568</v>
      </c>
      <c r="Z79" s="71">
        <f>VLOOKUP($B79,[1]Sheet8!$J$3:$K$94,2,0)</f>
        <v>544</v>
      </c>
      <c r="AA79" s="71">
        <f>VLOOKUP($B79,[1]Sheet7!$H$2:$M$93,6,0)</f>
        <v>68724</v>
      </c>
      <c r="AB79" s="57">
        <v>9574.2478571432894</v>
      </c>
      <c r="AC79" s="57">
        <v>9574.2478571432894</v>
      </c>
      <c r="AD79" s="75">
        <v>0</v>
      </c>
      <c r="AE79" s="57">
        <f t="shared" si="77"/>
        <v>10531.672642857618</v>
      </c>
      <c r="AF79" s="75">
        <v>1.1000000000000001</v>
      </c>
      <c r="AG79" s="77">
        <f>VLOOKUP($B79,[2]Sheet1!$E$2:$I$96,4,0)</f>
        <v>6911</v>
      </c>
      <c r="AH79" s="77">
        <f>VLOOKUP($B79,[2]Sheet1!$E$2:$I$96,5,0)</f>
        <v>947</v>
      </c>
      <c r="AI79" s="77">
        <f t="shared" si="78"/>
        <v>48377</v>
      </c>
      <c r="AJ79" s="61">
        <f t="shared" si="79"/>
        <v>6629</v>
      </c>
      <c r="AK79" s="61">
        <f>VLOOKUP(B79,[2]Sheet9!$D$2:$F$94,3,0)</f>
        <v>490</v>
      </c>
      <c r="AL79" s="61">
        <f>VLOOKUP(B79,[2]Sheet9!$J$3:$L$95,3,0)</f>
        <v>84</v>
      </c>
      <c r="AM79" s="61">
        <f>VLOOKUP(B79,[2]Sheet9!$P$3:$R$95,3,0)</f>
        <v>483</v>
      </c>
      <c r="AN79" s="70">
        <f t="shared" si="80"/>
        <v>223014.45000001509</v>
      </c>
      <c r="AO79" s="71">
        <f t="shared" si="81"/>
        <v>27876.806250001886</v>
      </c>
      <c r="AP79" s="71">
        <f t="shared" si="82"/>
        <v>557</v>
      </c>
      <c r="AQ79" s="71">
        <f t="shared" si="83"/>
        <v>196</v>
      </c>
      <c r="AR79" s="71">
        <f t="shared" si="84"/>
        <v>-2188</v>
      </c>
      <c r="AS79" s="61" t="str">
        <f t="shared" si="85"/>
        <v>Out of Stock Risk</v>
      </c>
      <c r="AT79" s="57">
        <v>67019.735000002998</v>
      </c>
      <c r="AU79" s="57">
        <f t="shared" si="100"/>
        <v>67019.735000003027</v>
      </c>
      <c r="AV79" s="57">
        <f t="shared" si="86"/>
        <v>53969.820500000911</v>
      </c>
      <c r="AW79" s="57">
        <v>67019.735000002998</v>
      </c>
      <c r="AX79" s="57">
        <f>AI79*0.7+AC79*7*0.3</f>
        <v>53969.820500000904</v>
      </c>
      <c r="AY79" s="82">
        <v>11000</v>
      </c>
      <c r="AZ79" s="61">
        <f>IFERROR(VLOOKUP(B79,[3]Sheet2!$E$4:$F$17,2,0),0)</f>
        <v>0</v>
      </c>
      <c r="BA79" s="61">
        <f t="shared" si="87"/>
        <v>8377.4668750003784</v>
      </c>
      <c r="BB79" s="61">
        <v>12500</v>
      </c>
      <c r="BC79" s="61">
        <v>18500</v>
      </c>
      <c r="BD79" s="61">
        <f t="shared" si="103"/>
        <v>6746.227562500113</v>
      </c>
      <c r="BE79" s="61">
        <f t="shared" si="88"/>
        <v>1833.3333333333333</v>
      </c>
      <c r="BF79" s="61">
        <f t="shared" si="89"/>
        <v>1396.2444791667297</v>
      </c>
      <c r="BG79" s="61">
        <f t="shared" si="90"/>
        <v>2083.3333333333335</v>
      </c>
      <c r="BH79" s="61">
        <f t="shared" si="91"/>
        <v>3083.3333333333335</v>
      </c>
      <c r="BI79" s="61">
        <f t="shared" si="92"/>
        <v>1124.3712604166856</v>
      </c>
      <c r="BJ79" s="61">
        <f t="shared" si="93"/>
        <v>9.1666666666666661</v>
      </c>
      <c r="BK79" s="61">
        <f t="shared" si="94"/>
        <v>6.9812223958336483</v>
      </c>
      <c r="BL79" s="61">
        <f t="shared" si="95"/>
        <v>10.416666666666666</v>
      </c>
      <c r="BM79" s="61">
        <f t="shared" si="96"/>
        <v>15.416666666666666</v>
      </c>
      <c r="BN79" s="61">
        <f t="shared" si="97"/>
        <v>5.6218563020834278</v>
      </c>
      <c r="BO79">
        <f t="shared" si="98"/>
        <v>489080.06957142561</v>
      </c>
      <c r="BP79" s="42">
        <f t="shared" si="99"/>
        <v>6746.227562500113</v>
      </c>
      <c r="BQ79" s="42">
        <f>ROUNDUP(AK79,-1)</f>
        <v>490</v>
      </c>
      <c r="BR79" s="42">
        <f t="shared" si="73"/>
        <v>90</v>
      </c>
      <c r="BS79" s="42">
        <f t="shared" si="101"/>
        <v>390</v>
      </c>
      <c r="BT79">
        <f>VLOOKUP($B79,'[4]Food Monitor'!$A$4:$AD$95,16,0)</f>
        <v>690</v>
      </c>
      <c r="BU79">
        <f>VLOOKUP($B79,'[4]Food Monitor'!$A$4:$AD$95,27,0)</f>
        <v>280</v>
      </c>
    </row>
    <row r="80" spans="1:73" ht="16.5" hidden="1">
      <c r="A80" s="51" t="s">
        <v>105</v>
      </c>
      <c r="B80" s="51" t="s">
        <v>283</v>
      </c>
      <c r="C80" s="52" t="s">
        <v>284</v>
      </c>
      <c r="D80" s="51" t="s">
        <v>20</v>
      </c>
      <c r="E80" s="51" t="s">
        <v>20</v>
      </c>
      <c r="F80" s="59" t="s">
        <v>282</v>
      </c>
      <c r="G80" s="60">
        <v>410.90996899999999</v>
      </c>
      <c r="H80" s="61" t="s">
        <v>116</v>
      </c>
      <c r="I80" s="61" t="s">
        <v>128</v>
      </c>
      <c r="J80" s="70">
        <v>271591.51</v>
      </c>
      <c r="K80" s="70">
        <f t="shared" si="71"/>
        <v>423336.08500000456</v>
      </c>
      <c r="L80" s="71">
        <f t="shared" si="74"/>
        <v>37.585671250519688</v>
      </c>
      <c r="M80" s="71">
        <v>1600</v>
      </c>
      <c r="N80" s="71">
        <v>400</v>
      </c>
      <c r="O80" s="71">
        <v>2500</v>
      </c>
      <c r="P80" s="51">
        <f t="shared" si="75"/>
        <v>20</v>
      </c>
      <c r="Q80" s="73">
        <v>45191</v>
      </c>
      <c r="R80" s="73">
        <v>45211</v>
      </c>
      <c r="S80" s="70">
        <f>VLOOKUP(B80,[1]Sheet7!$H$2:$M$93,5,0)</f>
        <v>468166.87000000046</v>
      </c>
      <c r="T80" s="71">
        <f t="shared" si="76"/>
        <v>102.93906552330705</v>
      </c>
      <c r="U80" s="70">
        <f>VLOOKUP($B80,[1]Sheet7!$H$2:$M$93,4,0)</f>
        <v>388422.21999999991</v>
      </c>
      <c r="V80" s="70">
        <f>VLOOKUP($B80,[1]Sheet7!$H$2:$M$93,2,0)</f>
        <v>47534.069999999978</v>
      </c>
      <c r="W80" s="70">
        <f>VLOOKUP($B80,[1]Sheet7!$H$2:$M$93,3,0)</f>
        <v>32644.129999999986</v>
      </c>
      <c r="X80" s="71">
        <f>VLOOKUP($B80,[1]Sheet8!$D$2:$E$93,2,0)</f>
        <v>3023</v>
      </c>
      <c r="Y80" s="71">
        <f>VLOOKUP($B80,[1]Sheet8!$P$3:$Q$94,2,0)</f>
        <v>5498</v>
      </c>
      <c r="Z80" s="71">
        <f>VLOOKUP($B80,[1]Sheet8!$J$3:$K$94,2,0)</f>
        <v>748</v>
      </c>
      <c r="AA80" s="71">
        <f>VLOOKUP($B80,[1]Sheet7!$H$2:$M$93,6,0)</f>
        <v>58880</v>
      </c>
      <c r="AB80" s="57">
        <v>7225.9321428573603</v>
      </c>
      <c r="AC80" s="57">
        <v>7225.9321428573603</v>
      </c>
      <c r="AD80" s="75">
        <v>0</v>
      </c>
      <c r="AE80" s="57">
        <f t="shared" si="77"/>
        <v>7948.5253571430967</v>
      </c>
      <c r="AF80" s="75">
        <v>1.1000000000000001</v>
      </c>
      <c r="AG80" s="77">
        <f>VLOOKUP($B80,[2]Sheet1!$E$2:$I$96,4,0)</f>
        <v>4548</v>
      </c>
      <c r="AH80" s="77">
        <f>VLOOKUP($B80,[2]Sheet1!$E$2:$I$96,5,0)</f>
        <v>629</v>
      </c>
      <c r="AI80" s="77">
        <f t="shared" si="78"/>
        <v>31836</v>
      </c>
      <c r="AJ80" s="61">
        <f t="shared" si="79"/>
        <v>4403</v>
      </c>
      <c r="AK80" s="61">
        <f>VLOOKUP(B80,[2]Sheet9!$D$2:$F$94,3,0)</f>
        <v>244</v>
      </c>
      <c r="AL80" s="61">
        <f>VLOOKUP(B80,[2]Sheet9!$J$3:$L$95,3,0)</f>
        <v>60</v>
      </c>
      <c r="AM80" s="61">
        <f>VLOOKUP(B80,[2]Sheet9!$P$3:$R$95,3,0)</f>
        <v>427</v>
      </c>
      <c r="AN80" s="70">
        <f t="shared" si="80"/>
        <v>106913.79000000877</v>
      </c>
      <c r="AO80" s="71">
        <f t="shared" si="81"/>
        <v>13364.223750001096</v>
      </c>
      <c r="AP80" s="71">
        <f t="shared" si="82"/>
        <v>-725.85714285714312</v>
      </c>
      <c r="AQ80" s="71">
        <f t="shared" si="83"/>
        <v>-176.57142857142856</v>
      </c>
      <c r="AR80" s="71">
        <f t="shared" si="84"/>
        <v>-1778</v>
      </c>
      <c r="AS80" s="61" t="str">
        <f t="shared" si="85"/>
        <v>Out of Stock Risk</v>
      </c>
      <c r="AT80" s="57">
        <v>50581.5250000015</v>
      </c>
      <c r="AU80" s="57">
        <f t="shared" si="100"/>
        <v>50581.525000001522</v>
      </c>
      <c r="AV80" s="57">
        <f t="shared" si="86"/>
        <v>37459.657500000452</v>
      </c>
      <c r="AW80" s="57">
        <v>50581.5250000015</v>
      </c>
      <c r="AX80" s="57">
        <f>AI80*0.7+AC80*7*0.3</f>
        <v>37459.657500000452</v>
      </c>
      <c r="AY80" s="61">
        <f>AT80/8</f>
        <v>6322.6906250001875</v>
      </c>
      <c r="AZ80" s="61">
        <f>IFERROR(VLOOKUP(B80,[3]Sheet2!$E$4:$F$17,2,0),0)</f>
        <v>0</v>
      </c>
      <c r="BA80" s="61">
        <f t="shared" si="87"/>
        <v>6322.6906250001903</v>
      </c>
      <c r="BB80" s="61">
        <f t="shared" ref="BB80:BB93" si="104">AV80/8</f>
        <v>4682.4571875000565</v>
      </c>
      <c r="BC80" s="61">
        <v>14500</v>
      </c>
      <c r="BD80" s="61">
        <f t="shared" si="103"/>
        <v>4682.4571875000565</v>
      </c>
      <c r="BE80" s="61">
        <f t="shared" si="88"/>
        <v>1053.7817708333646</v>
      </c>
      <c r="BF80" s="61">
        <f t="shared" si="89"/>
        <v>1053.781770833365</v>
      </c>
      <c r="BG80" s="61">
        <f t="shared" si="90"/>
        <v>780.40953125000942</v>
      </c>
      <c r="BH80" s="61">
        <f t="shared" si="91"/>
        <v>2416.6666666666665</v>
      </c>
      <c r="BI80" s="61">
        <f t="shared" si="92"/>
        <v>780.40953125000942</v>
      </c>
      <c r="BJ80" s="61">
        <f t="shared" si="93"/>
        <v>5.2689088541668232</v>
      </c>
      <c r="BK80" s="61">
        <f t="shared" si="94"/>
        <v>5.268908854166825</v>
      </c>
      <c r="BL80" s="61">
        <f t="shared" si="95"/>
        <v>3.9020476562500472</v>
      </c>
      <c r="BM80" s="61">
        <f t="shared" si="96"/>
        <v>12.083333333333334</v>
      </c>
      <c r="BN80" s="61">
        <f t="shared" si="97"/>
        <v>3.9020476562500472</v>
      </c>
      <c r="BO80">
        <f t="shared" si="98"/>
        <v>413019.40642856876</v>
      </c>
      <c r="BP80" s="42">
        <f t="shared" si="99"/>
        <v>4682.4571875000565</v>
      </c>
      <c r="BQ80" s="42">
        <f>ROUNDUP(AK80,-1)-100</f>
        <v>150</v>
      </c>
      <c r="BR80" s="42">
        <f>ROUNDUP(AL80,-1)-50</f>
        <v>10</v>
      </c>
      <c r="BS80" s="42">
        <f t="shared" si="101"/>
        <v>330</v>
      </c>
      <c r="BT80">
        <f>VLOOKUP($B80,'[4]Food Monitor'!$A$4:$AD$95,16,0)</f>
        <v>500</v>
      </c>
      <c r="BU80">
        <f>VLOOKUP($B80,'[4]Food Monitor'!$A$4:$AD$95,27,0)</f>
        <v>170</v>
      </c>
    </row>
    <row r="81" spans="1:74" ht="16.5" hidden="1">
      <c r="A81" s="51" t="s">
        <v>105</v>
      </c>
      <c r="B81" s="51" t="s">
        <v>285</v>
      </c>
      <c r="C81" s="52" t="s">
        <v>286</v>
      </c>
      <c r="D81" s="51" t="s">
        <v>20</v>
      </c>
      <c r="E81" s="59" t="s">
        <v>20</v>
      </c>
      <c r="F81" s="59" t="s">
        <v>108</v>
      </c>
      <c r="G81" s="63">
        <v>204.48</v>
      </c>
      <c r="H81" s="61" t="s">
        <v>116</v>
      </c>
      <c r="I81" s="61" t="s">
        <v>110</v>
      </c>
      <c r="J81" s="70">
        <v>243093.24</v>
      </c>
      <c r="K81" s="70">
        <f t="shared" si="71"/>
        <v>314499.12</v>
      </c>
      <c r="L81" s="71">
        <f t="shared" si="74"/>
        <v>71.492124178008865</v>
      </c>
      <c r="M81" s="71">
        <v>1440</v>
      </c>
      <c r="N81" s="71">
        <v>540</v>
      </c>
      <c r="O81" s="71">
        <v>2112</v>
      </c>
      <c r="P81" s="51">
        <f t="shared" si="75"/>
        <v>20</v>
      </c>
      <c r="Q81" s="73">
        <v>45191</v>
      </c>
      <c r="R81" s="73">
        <v>45211</v>
      </c>
      <c r="S81" s="70">
        <f>VLOOKUP(B81,[1]Sheet7!$H$2:$M$93,5,0)</f>
        <v>344898.60000000114</v>
      </c>
      <c r="T81" s="71">
        <f t="shared" si="76"/>
        <v>121.22973637961375</v>
      </c>
      <c r="U81" s="70">
        <f>VLOOKUP($B81,[1]Sheet7!$H$2:$M$93,4,0)</f>
        <v>319242.72000000032</v>
      </c>
      <c r="V81" s="70">
        <f>VLOOKUP($B81,[1]Sheet7!$H$2:$M$93,2,0)</f>
        <v>25785.679999999997</v>
      </c>
      <c r="W81" s="70">
        <f>VLOOKUP($B81,[1]Sheet7!$H$2:$M$93,3,0)</f>
        <v>0</v>
      </c>
      <c r="X81" s="71">
        <f>VLOOKUP($B81,[1]Sheet8!$D$2:$E$93,2,0)</f>
        <v>1969</v>
      </c>
      <c r="Y81" s="71">
        <f>VLOOKUP($B81,[1]Sheet8!$P$3:$Q$94,2,0)</f>
        <v>3878</v>
      </c>
      <c r="Z81" s="71">
        <f>VLOOKUP($B81,[1]Sheet8!$J$3:$K$94,2,0)</f>
        <v>580</v>
      </c>
      <c r="AA81" s="71">
        <f>VLOOKUP($B81,[1]Sheet7!$H$2:$M$93,6,0)</f>
        <v>41904</v>
      </c>
      <c r="AB81" s="57">
        <v>3400.28</v>
      </c>
      <c r="AC81" s="57">
        <v>3400.28</v>
      </c>
      <c r="AD81" s="75">
        <v>0</v>
      </c>
      <c r="AE81" s="57">
        <f t="shared" si="77"/>
        <v>3740.3080000000004</v>
      </c>
      <c r="AF81" s="75">
        <v>1.1000000000000001</v>
      </c>
      <c r="AG81" s="77">
        <f>VLOOKUP($B81,[2]Sheet1!$E$2:$I$96,4,0)</f>
        <v>2845</v>
      </c>
      <c r="AH81" s="77">
        <f>VLOOKUP($B81,[2]Sheet1!$E$2:$I$96,5,0)</f>
        <v>414</v>
      </c>
      <c r="AI81" s="77">
        <f t="shared" si="78"/>
        <v>19915</v>
      </c>
      <c r="AJ81" s="61">
        <f t="shared" si="79"/>
        <v>2898</v>
      </c>
      <c r="AK81" s="61">
        <f>VLOOKUP(B81,[2]Sheet9!$D$2:$F$94,3,0)</f>
        <v>171</v>
      </c>
      <c r="AL81" s="61">
        <f>VLOOKUP(B81,[2]Sheet9!$J$3:$L$95,3,0)</f>
        <v>31</v>
      </c>
      <c r="AM81" s="61">
        <f>VLOOKUP(B81,[2]Sheet9!$P$3:$R$95,3,0)</f>
        <v>259</v>
      </c>
      <c r="AN81" s="70">
        <f t="shared" si="80"/>
        <v>41006.399999998859</v>
      </c>
      <c r="AO81" s="71">
        <f t="shared" si="81"/>
        <v>5125.7999999998574</v>
      </c>
      <c r="AP81" s="71">
        <f t="shared" si="82"/>
        <v>-40.428571428571558</v>
      </c>
      <c r="AQ81" s="71">
        <f t="shared" si="83"/>
        <v>48.571428571428555</v>
      </c>
      <c r="AR81" s="71">
        <f t="shared" si="84"/>
        <v>-1026</v>
      </c>
      <c r="AS81" s="61" t="str">
        <f t="shared" si="85"/>
        <v>Out of Stock Risk</v>
      </c>
      <c r="AT81" s="57">
        <v>23801.96</v>
      </c>
      <c r="AU81" s="57">
        <f t="shared" si="100"/>
        <v>23801.960000000003</v>
      </c>
      <c r="AV81" s="57">
        <f t="shared" si="86"/>
        <v>21081.088</v>
      </c>
      <c r="AW81" s="57">
        <v>23801.96</v>
      </c>
      <c r="AX81" s="57">
        <f>AC81*7</f>
        <v>23801.960000000003</v>
      </c>
      <c r="AY81" s="61">
        <f>AT81/8</f>
        <v>2975.2449999999999</v>
      </c>
      <c r="AZ81" s="61">
        <f>IFERROR(VLOOKUP(B81,[3]Sheet2!$E$4:$F$17,2,0),0)</f>
        <v>0</v>
      </c>
      <c r="BA81" s="61">
        <f t="shared" si="87"/>
        <v>2975.2450000000003</v>
      </c>
      <c r="BB81" s="61">
        <f t="shared" si="104"/>
        <v>2635.136</v>
      </c>
      <c r="BC81" s="61">
        <f t="shared" ref="BC81:BC91" si="105">AW81/8</f>
        <v>2975.2449999999999</v>
      </c>
      <c r="BD81" s="61">
        <f t="shared" si="103"/>
        <v>2975.2450000000003</v>
      </c>
      <c r="BE81" s="61">
        <f t="shared" si="88"/>
        <v>495.87416666666667</v>
      </c>
      <c r="BF81" s="61">
        <f t="shared" si="89"/>
        <v>495.87416666666672</v>
      </c>
      <c r="BG81" s="61">
        <f t="shared" si="90"/>
        <v>439.18933333333331</v>
      </c>
      <c r="BH81" s="61">
        <f t="shared" si="91"/>
        <v>495.87416666666667</v>
      </c>
      <c r="BI81" s="61">
        <f t="shared" si="92"/>
        <v>495.87416666666672</v>
      </c>
      <c r="BJ81" s="61">
        <f t="shared" si="93"/>
        <v>2.4793708333333333</v>
      </c>
      <c r="BK81" s="61">
        <f t="shared" si="94"/>
        <v>2.4793708333333337</v>
      </c>
      <c r="BL81" s="61">
        <f t="shared" si="95"/>
        <v>2.1959466666666665</v>
      </c>
      <c r="BM81" s="61">
        <f t="shared" si="96"/>
        <v>2.4793708333333333</v>
      </c>
      <c r="BN81" s="61">
        <f t="shared" si="97"/>
        <v>2.4793708333333337</v>
      </c>
      <c r="BO81">
        <f t="shared" si="98"/>
        <v>328576.60800000111</v>
      </c>
      <c r="BP81" s="42">
        <f t="shared" si="99"/>
        <v>2975.2450000000003</v>
      </c>
      <c r="BQ81" s="42">
        <f>ROUNDUP(AK81,-1)-50</f>
        <v>130</v>
      </c>
      <c r="BR81" s="42">
        <f>ROUNDUP(AL81,-1)</f>
        <v>40</v>
      </c>
      <c r="BS81" s="42">
        <f t="shared" si="101"/>
        <v>160</v>
      </c>
      <c r="BT81">
        <f>VLOOKUP($B81,'[4]Food Monitor'!$A$4:$AD$95,16,0)</f>
        <v>300</v>
      </c>
      <c r="BU81">
        <f>VLOOKUP($B81,'[4]Food Monitor'!$A$4:$AD$95,27,0)</f>
        <v>120</v>
      </c>
    </row>
    <row r="82" spans="1:74" ht="16.5" hidden="1">
      <c r="A82" s="51" t="s">
        <v>105</v>
      </c>
      <c r="B82" s="51" t="s">
        <v>287</v>
      </c>
      <c r="C82" s="52" t="s">
        <v>288</v>
      </c>
      <c r="D82" s="51" t="s">
        <v>11</v>
      </c>
      <c r="E82" s="59" t="s">
        <v>11</v>
      </c>
      <c r="F82" s="59" t="s">
        <v>289</v>
      </c>
      <c r="G82" s="63">
        <v>417.32</v>
      </c>
      <c r="H82" s="61" t="s">
        <v>109</v>
      </c>
      <c r="I82" s="61" t="s">
        <v>166</v>
      </c>
      <c r="J82" s="70">
        <v>250000</v>
      </c>
      <c r="K82" s="70">
        <f t="shared" si="71"/>
        <v>324097.70500000013</v>
      </c>
      <c r="L82" s="71">
        <f t="shared" si="74"/>
        <v>70.852396845489196</v>
      </c>
      <c r="M82" s="71">
        <v>1600</v>
      </c>
      <c r="N82" s="71">
        <v>300</v>
      </c>
      <c r="O82" s="71">
        <v>2800</v>
      </c>
      <c r="P82" s="51">
        <f t="shared" si="75"/>
        <v>27</v>
      </c>
      <c r="Q82" s="73">
        <v>45191</v>
      </c>
      <c r="R82" s="73">
        <v>45218</v>
      </c>
      <c r="S82" s="70">
        <f>VLOOKUP(B82,[1]Sheet7!$H$2:$M$93,5,0)</f>
        <v>507148.64000000426</v>
      </c>
      <c r="T82" s="71">
        <f t="shared" si="76"/>
        <v>222.14132282085163</v>
      </c>
      <c r="U82" s="70">
        <f>VLOOKUP($B82,[1]Sheet7!$H$2:$M$93,4,0)</f>
        <v>413193.1000000026</v>
      </c>
      <c r="V82" s="70">
        <f>VLOOKUP($B82,[1]Sheet7!$H$2:$M$93,2,0)</f>
        <v>94276.489999999612</v>
      </c>
      <c r="W82" s="70">
        <f>VLOOKUP($B82,[1]Sheet7!$H$2:$M$93,3,0)</f>
        <v>0</v>
      </c>
      <c r="X82" s="71">
        <f>VLOOKUP($B82,[1]Sheet8!$D$2:$E$93,2,0)</f>
        <v>2974</v>
      </c>
      <c r="Y82" s="71">
        <f>VLOOKUP($B82,[1]Sheet8!$P$3:$Q$94,2,0)</f>
        <v>7297</v>
      </c>
      <c r="Z82" s="71">
        <f>VLOOKUP($B82,[1]Sheet8!$J$3:$K$94,2,0)</f>
        <v>689</v>
      </c>
      <c r="AA82" s="71">
        <f>VLOOKUP($B82,[1]Sheet7!$H$2:$M$93,6,0)</f>
        <v>63368</v>
      </c>
      <c r="AB82" s="57">
        <v>3528.46214285715</v>
      </c>
      <c r="AC82" s="57">
        <v>3528.46214285715</v>
      </c>
      <c r="AD82" s="75">
        <v>0</v>
      </c>
      <c r="AE82" s="57">
        <f t="shared" si="77"/>
        <v>3881.3083571428651</v>
      </c>
      <c r="AF82" s="75">
        <v>1.1000000000000001</v>
      </c>
      <c r="AG82" s="77">
        <f>VLOOKUP($B82,[2]Sheet1!$E$2:$I$96,4,0)</f>
        <v>2283</v>
      </c>
      <c r="AH82" s="77">
        <f>VLOOKUP($B82,[2]Sheet1!$E$2:$I$96,5,0)</f>
        <v>328</v>
      </c>
      <c r="AI82" s="77">
        <f t="shared" si="78"/>
        <v>15981</v>
      </c>
      <c r="AJ82" s="61">
        <f t="shared" si="79"/>
        <v>2296</v>
      </c>
      <c r="AK82" s="61">
        <f>VLOOKUP(B82,[2]Sheet9!$D$2:$F$94,3,0)</f>
        <v>137</v>
      </c>
      <c r="AL82" s="61">
        <f>VLOOKUP(B82,[2]Sheet9!$J$3:$L$95,3,0)</f>
        <v>22</v>
      </c>
      <c r="AM82" s="61">
        <f>VLOOKUP(B82,[2]Sheet9!$P$3:$R$95,3,0)</f>
        <v>138</v>
      </c>
      <c r="AN82" s="70">
        <f t="shared" si="80"/>
        <v>-108953.23000000394</v>
      </c>
      <c r="AO82" s="71">
        <f t="shared" si="81"/>
        <v>0</v>
      </c>
      <c r="AP82" s="71">
        <f t="shared" si="82"/>
        <v>-845.57142857142844</v>
      </c>
      <c r="AQ82" s="71">
        <f t="shared" si="83"/>
        <v>-304.14285714285711</v>
      </c>
      <c r="AR82" s="71">
        <f t="shared" si="84"/>
        <v>-3964.7142857142858</v>
      </c>
      <c r="AS82" s="61" t="str">
        <f t="shared" si="85"/>
        <v>Full of Stock Risk</v>
      </c>
      <c r="AT82" s="57">
        <v>24699.235000000099</v>
      </c>
      <c r="AU82" s="57">
        <f>AG82*7</f>
        <v>15981</v>
      </c>
      <c r="AV82" s="57">
        <f t="shared" si="86"/>
        <v>18596.470500000014</v>
      </c>
      <c r="AW82" s="57">
        <v>24699.235000000099</v>
      </c>
      <c r="AX82" s="57">
        <f>AI82*0.6+AC82*7*0.4</f>
        <v>19468.294000000024</v>
      </c>
      <c r="AY82" s="61">
        <f>AT82/8</f>
        <v>3087.4043750000124</v>
      </c>
      <c r="AZ82" s="61">
        <f>IFERROR(VLOOKUP(B82,[3]Sheet2!$E$4:$F$17,2,0),0)</f>
        <v>0</v>
      </c>
      <c r="BA82" s="61">
        <f t="shared" si="87"/>
        <v>1997.625</v>
      </c>
      <c r="BB82" s="61">
        <f t="shared" si="104"/>
        <v>2324.5588125000017</v>
      </c>
      <c r="BC82" s="61">
        <f t="shared" si="105"/>
        <v>3087.4043750000124</v>
      </c>
      <c r="BD82" s="61">
        <f t="shared" si="103"/>
        <v>2433.5367500000029</v>
      </c>
      <c r="BE82" s="61">
        <f t="shared" si="88"/>
        <v>514.56739583333535</v>
      </c>
      <c r="BF82" s="61">
        <f t="shared" si="89"/>
        <v>332.9375</v>
      </c>
      <c r="BG82" s="61">
        <f t="shared" si="90"/>
        <v>387.42646875000031</v>
      </c>
      <c r="BH82" s="61">
        <f t="shared" si="91"/>
        <v>514.56739583333535</v>
      </c>
      <c r="BI82" s="61">
        <f t="shared" si="92"/>
        <v>405.58945833333382</v>
      </c>
      <c r="BJ82" s="61">
        <f t="shared" si="93"/>
        <v>2.5728369791666768</v>
      </c>
      <c r="BK82" s="61">
        <f t="shared" si="94"/>
        <v>1.6646875000000001</v>
      </c>
      <c r="BL82" s="61">
        <f t="shared" si="95"/>
        <v>1.9371323437500014</v>
      </c>
      <c r="BM82" s="61">
        <f t="shared" si="96"/>
        <v>2.5728369791666768</v>
      </c>
      <c r="BN82" s="61">
        <f t="shared" si="97"/>
        <v>2.0279472916666692</v>
      </c>
      <c r="BO82">
        <f t="shared" si="98"/>
        <v>472982.85092857556</v>
      </c>
      <c r="BP82" s="42">
        <f t="shared" si="99"/>
        <v>2433.5367500000029</v>
      </c>
      <c r="BQ82" s="42">
        <f>ROUNDUP(AK82,-1)-100</f>
        <v>40</v>
      </c>
      <c r="BR82" s="42">
        <v>0</v>
      </c>
      <c r="BS82" s="42">
        <f t="shared" si="101"/>
        <v>40</v>
      </c>
      <c r="BT82">
        <f>VLOOKUP($B82,'[4]Food Monitor'!$A$4:$AD$95,16,0)</f>
        <v>240</v>
      </c>
      <c r="BU82">
        <f>VLOOKUP($B82,'[4]Food Monitor'!$A$4:$AD$95,27,0)</f>
        <v>110</v>
      </c>
    </row>
    <row r="83" spans="1:74" ht="16.5" hidden="1">
      <c r="A83" s="51" t="s">
        <v>105</v>
      </c>
      <c r="B83" s="51" t="s">
        <v>290</v>
      </c>
      <c r="C83" s="52" t="s">
        <v>291</v>
      </c>
      <c r="D83" s="51" t="s">
        <v>20</v>
      </c>
      <c r="E83" s="59" t="s">
        <v>20</v>
      </c>
      <c r="F83" s="59" t="s">
        <v>292</v>
      </c>
      <c r="G83" s="63">
        <v>325.35000000000002</v>
      </c>
      <c r="H83" s="61" t="s">
        <v>116</v>
      </c>
      <c r="I83" s="61" t="s">
        <v>151</v>
      </c>
      <c r="J83" s="70">
        <v>370206.34</v>
      </c>
      <c r="K83" s="70">
        <f t="shared" si="71"/>
        <v>449802.75999999995</v>
      </c>
      <c r="L83" s="71">
        <f t="shared" si="74"/>
        <v>97.671894539980684</v>
      </c>
      <c r="M83" s="71">
        <v>1800</v>
      </c>
      <c r="N83" s="71">
        <v>300</v>
      </c>
      <c r="O83" s="71">
        <v>2800</v>
      </c>
      <c r="P83" s="51">
        <f t="shared" si="75"/>
        <v>20</v>
      </c>
      <c r="Q83" s="73">
        <v>45191</v>
      </c>
      <c r="R83" s="73">
        <v>45211</v>
      </c>
      <c r="S83" s="70">
        <f>VLOOKUP(B83,[1]Sheet7!$H$2:$M$93,5,0)</f>
        <v>495565.67000000755</v>
      </c>
      <c r="T83" s="71">
        <f t="shared" si="76"/>
        <v>227.74157628676818</v>
      </c>
      <c r="U83" s="70">
        <f>VLOOKUP($B83,[1]Sheet7!$H$2:$M$93,4,0)</f>
        <v>279930.43000000046</v>
      </c>
      <c r="V83" s="70">
        <f>VLOOKUP($B83,[1]Sheet7!$H$2:$M$93,2,0)</f>
        <v>216077.76000000237</v>
      </c>
      <c r="W83" s="70">
        <f>VLOOKUP($B83,[1]Sheet7!$H$2:$M$93,3,0)</f>
        <v>0</v>
      </c>
      <c r="X83" s="71">
        <f>VLOOKUP($B83,[1]Sheet8!$D$2:$E$93,2,0)</f>
        <v>3055</v>
      </c>
      <c r="Y83" s="71">
        <f>VLOOKUP($B83,[1]Sheet8!$P$3:$Q$94,2,0)</f>
        <v>5196</v>
      </c>
      <c r="Z83" s="71">
        <f>VLOOKUP($B83,[1]Sheet8!$J$3:$K$94,2,0)</f>
        <v>567</v>
      </c>
      <c r="AA83" s="71">
        <f>VLOOKUP($B83,[1]Sheet7!$H$2:$M$93,6,0)</f>
        <v>63189</v>
      </c>
      <c r="AB83" s="57">
        <v>3790.3057142857101</v>
      </c>
      <c r="AC83" s="57">
        <v>3790.3057142857101</v>
      </c>
      <c r="AD83" s="75">
        <v>0</v>
      </c>
      <c r="AE83" s="57">
        <f t="shared" si="77"/>
        <v>4169.3362857142811</v>
      </c>
      <c r="AF83" s="75">
        <v>1.1000000000000001</v>
      </c>
      <c r="AG83" s="77">
        <f>VLOOKUP($B83,[2]Sheet1!$E$2:$I$96,4,0)</f>
        <v>2176</v>
      </c>
      <c r="AH83" s="77">
        <f>VLOOKUP($B83,[2]Sheet1!$E$2:$I$96,5,0)</f>
        <v>286</v>
      </c>
      <c r="AI83" s="77">
        <f t="shared" si="78"/>
        <v>15232</v>
      </c>
      <c r="AJ83" s="61">
        <f t="shared" si="79"/>
        <v>2002</v>
      </c>
      <c r="AK83" s="61">
        <f>VLOOKUP(B83,[2]Sheet9!$D$2:$F$94,3,0)</f>
        <v>177</v>
      </c>
      <c r="AL83" s="61">
        <f>VLOOKUP(B83,[2]Sheet9!$J$3:$L$95,3,0)</f>
        <v>55</v>
      </c>
      <c r="AM83" s="61">
        <f>VLOOKUP(B83,[2]Sheet9!$P$3:$R$95,3,0)</f>
        <v>160</v>
      </c>
      <c r="AN83" s="70">
        <f t="shared" si="80"/>
        <v>33833.509999992268</v>
      </c>
      <c r="AO83" s="71">
        <f t="shared" si="81"/>
        <v>4229.1887499990335</v>
      </c>
      <c r="AP83" s="71">
        <f t="shared" si="82"/>
        <v>-749.28571428571422</v>
      </c>
      <c r="AQ83" s="71">
        <f t="shared" si="83"/>
        <v>-109.85714285714289</v>
      </c>
      <c r="AR83" s="71">
        <f t="shared" si="84"/>
        <v>-1938.8571428571427</v>
      </c>
      <c r="AS83" s="61" t="str">
        <f t="shared" si="85"/>
        <v>Out of Stock Risk</v>
      </c>
      <c r="AT83" s="57">
        <v>26532.139999999901</v>
      </c>
      <c r="AU83" s="57">
        <f>AC83*7</f>
        <v>26532.13999999997</v>
      </c>
      <c r="AV83" s="57">
        <f t="shared" si="86"/>
        <v>18622.04199999999</v>
      </c>
      <c r="AW83" s="57">
        <v>26532.139999999901</v>
      </c>
      <c r="AX83" s="57">
        <f>AI83*0.8+AC83*7*0.2</f>
        <v>17492.027999999995</v>
      </c>
      <c r="AY83" s="61">
        <f>AT83/8</f>
        <v>3316.5174999999876</v>
      </c>
      <c r="AZ83" s="61">
        <f>IFERROR(VLOOKUP(B83,[3]Sheet2!$E$4:$F$17,2,0),0)</f>
        <v>0</v>
      </c>
      <c r="BA83" s="61">
        <f t="shared" si="87"/>
        <v>3316.5174999999963</v>
      </c>
      <c r="BB83" s="61">
        <f t="shared" si="104"/>
        <v>2327.7552499999988</v>
      </c>
      <c r="BC83" s="61">
        <f t="shared" si="105"/>
        <v>3316.5174999999876</v>
      </c>
      <c r="BD83" s="61">
        <f t="shared" si="103"/>
        <v>2186.5034999999993</v>
      </c>
      <c r="BE83" s="61">
        <f t="shared" si="88"/>
        <v>552.75291666666465</v>
      </c>
      <c r="BF83" s="61">
        <f t="shared" si="89"/>
        <v>552.75291666666601</v>
      </c>
      <c r="BG83" s="61">
        <f t="shared" si="90"/>
        <v>387.95920833333315</v>
      </c>
      <c r="BH83" s="61">
        <f t="shared" si="91"/>
        <v>552.75291666666465</v>
      </c>
      <c r="BI83" s="61">
        <f t="shared" si="92"/>
        <v>364.41724999999991</v>
      </c>
      <c r="BJ83" s="61">
        <f t="shared" si="93"/>
        <v>2.7637645833333231</v>
      </c>
      <c r="BK83" s="61">
        <f t="shared" si="94"/>
        <v>2.7637645833333302</v>
      </c>
      <c r="BL83" s="61">
        <f t="shared" si="95"/>
        <v>1.9397960416666657</v>
      </c>
      <c r="BM83" s="61">
        <f t="shared" si="96"/>
        <v>2.7637645833333231</v>
      </c>
      <c r="BN83" s="61">
        <f t="shared" si="97"/>
        <v>1.8220862499999995</v>
      </c>
      <c r="BO83">
        <f t="shared" si="98"/>
        <v>463454.2371428645</v>
      </c>
      <c r="BP83" s="42">
        <f t="shared" si="99"/>
        <v>2186.5034999999993</v>
      </c>
      <c r="BQ83" s="42">
        <f>ROUNDUP(AK83,-1)-100</f>
        <v>80</v>
      </c>
      <c r="BR83" s="42">
        <f>ROUNDUP(AL83,-1)-50</f>
        <v>10</v>
      </c>
      <c r="BS83" s="42">
        <f t="shared" si="101"/>
        <v>60</v>
      </c>
      <c r="BT83">
        <f>VLOOKUP($B83,'[4]Food Monitor'!$A$4:$AD$95,16,0)</f>
        <v>150</v>
      </c>
      <c r="BU83">
        <f>VLOOKUP($B83,'[4]Food Monitor'!$A$4:$AD$95,27,0)</f>
        <v>100</v>
      </c>
    </row>
    <row r="84" spans="1:74" ht="16.5" hidden="1">
      <c r="A84" s="51" t="s">
        <v>105</v>
      </c>
      <c r="B84" s="51" t="s">
        <v>293</v>
      </c>
      <c r="C84" s="52" t="s">
        <v>294</v>
      </c>
      <c r="D84" s="51" t="s">
        <v>11</v>
      </c>
      <c r="E84" s="59" t="s">
        <v>11</v>
      </c>
      <c r="F84" s="59" t="s">
        <v>182</v>
      </c>
      <c r="G84" s="63">
        <v>275</v>
      </c>
      <c r="H84" s="61" t="s">
        <v>116</v>
      </c>
      <c r="I84" s="61" t="s">
        <v>295</v>
      </c>
      <c r="J84" s="70">
        <v>837030.654247912</v>
      </c>
      <c r="K84" s="70">
        <f t="shared" si="71"/>
        <v>1496511.0992478426</v>
      </c>
      <c r="L84" s="71">
        <f t="shared" si="74"/>
        <v>26.653775517495454</v>
      </c>
      <c r="M84" s="71">
        <v>1980</v>
      </c>
      <c r="N84" s="71">
        <v>720</v>
      </c>
      <c r="O84" s="71">
        <v>3168</v>
      </c>
      <c r="P84" s="51">
        <f t="shared" si="75"/>
        <v>27</v>
      </c>
      <c r="Q84" s="73">
        <v>45191</v>
      </c>
      <c r="R84" s="73">
        <v>45218</v>
      </c>
      <c r="S84" s="70">
        <f>VLOOKUP(B84,[1]Sheet7!$H$2:$M$93,5,0)</f>
        <v>2096243.1599999866</v>
      </c>
      <c r="T84" s="71">
        <f t="shared" si="76"/>
        <v>91.475089893523588</v>
      </c>
      <c r="U84" s="70">
        <f>VLOOKUP($B84,[1]Sheet7!$H$2:$M$93,4,0)</f>
        <v>1900706.3299999894</v>
      </c>
      <c r="V84" s="70">
        <f>VLOOKUP($B84,[1]Sheet7!$H$2:$M$93,2,0)</f>
        <v>169669.40999999974</v>
      </c>
      <c r="W84" s="70">
        <f>VLOOKUP($B84,[1]Sheet7!$H$2:$M$93,3,0)</f>
        <v>26726.489999999998</v>
      </c>
      <c r="X84" s="71">
        <f>VLOOKUP($B84,[1]Sheet8!$D$2:$E$93,2,0)</f>
        <v>12363</v>
      </c>
      <c r="Y84" s="71">
        <f>VLOOKUP($B84,[1]Sheet8!$P$3:$Q$94,2,0)</f>
        <v>14528</v>
      </c>
      <c r="Z84" s="71">
        <f>VLOOKUP($B84,[1]Sheet8!$J$3:$K$94,2,0)</f>
        <v>2743</v>
      </c>
      <c r="AA84" s="71">
        <f>VLOOKUP($B84,[1]Sheet7!$H$2:$M$93,6,0)</f>
        <v>278986</v>
      </c>
      <c r="AB84" s="57">
        <v>31403.830714282401</v>
      </c>
      <c r="AC84" s="57">
        <v>31403.830714282401</v>
      </c>
      <c r="AD84" s="75">
        <v>0</v>
      </c>
      <c r="AE84" s="57">
        <f t="shared" si="77"/>
        <v>34544.213785710643</v>
      </c>
      <c r="AF84" s="75">
        <v>1.1000000000000001</v>
      </c>
      <c r="AG84" s="77">
        <f>VLOOKUP($B84,[2]Sheet1!$E$2:$I$96,4,0)</f>
        <v>22916</v>
      </c>
      <c r="AH84" s="77">
        <f>VLOOKUP($B84,[2]Sheet1!$E$2:$I$96,5,0)</f>
        <v>3228</v>
      </c>
      <c r="AI84" s="77">
        <f t="shared" si="78"/>
        <v>160412</v>
      </c>
      <c r="AJ84" s="61">
        <f t="shared" si="79"/>
        <v>22596</v>
      </c>
      <c r="AK84" s="61">
        <f>VLOOKUP(B84,[2]Sheet9!$D$2:$F$94,3,0)</f>
        <v>1101</v>
      </c>
      <c r="AL84" s="61">
        <f>VLOOKUP(B84,[2]Sheet9!$J$3:$L$95,3,0)</f>
        <v>253</v>
      </c>
      <c r="AM84" s="61">
        <f>VLOOKUP(B84,[2]Sheet9!$P$3:$R$95,3,0)</f>
        <v>974</v>
      </c>
      <c r="AN84" s="70">
        <f t="shared" si="80"/>
        <v>59748.3842477859</v>
      </c>
      <c r="AO84" s="71">
        <f t="shared" si="81"/>
        <v>7468.5480309732375</v>
      </c>
      <c r="AP84" s="71">
        <f t="shared" si="82"/>
        <v>-6136.2857142857147</v>
      </c>
      <c r="AQ84" s="71">
        <f t="shared" si="83"/>
        <v>-1047.1428571428571</v>
      </c>
      <c r="AR84" s="71">
        <f t="shared" si="84"/>
        <v>-7603.1428571428569</v>
      </c>
      <c r="AS84" s="61" t="str">
        <f t="shared" si="85"/>
        <v>Out of Stock Risk</v>
      </c>
      <c r="AT84" s="57">
        <v>219826.81499997701</v>
      </c>
      <c r="AU84" s="57">
        <f>AG84*7</f>
        <v>160412</v>
      </c>
      <c r="AV84" s="57">
        <f t="shared" si="86"/>
        <v>178236.44449999303</v>
      </c>
      <c r="AW84" s="57">
        <v>219826.81499997701</v>
      </c>
      <c r="AX84" s="57">
        <f>AI84*0.6+AC84*7*0.4</f>
        <v>184177.92599999072</v>
      </c>
      <c r="AY84" s="61">
        <f>AT84/8</f>
        <v>27478.351874997126</v>
      </c>
      <c r="AZ84" s="61">
        <f>IFERROR(VLOOKUP(B84,[3]Sheet2!$E$4:$F$17,2,0),0)</f>
        <v>5104</v>
      </c>
      <c r="BA84" s="61">
        <f>AU84/8-AZ84</f>
        <v>14947.5</v>
      </c>
      <c r="BB84" s="61">
        <f t="shared" si="104"/>
        <v>22279.555562499128</v>
      </c>
      <c r="BC84" s="61">
        <f t="shared" si="105"/>
        <v>27478.351874997126</v>
      </c>
      <c r="BD84" s="61">
        <f t="shared" si="103"/>
        <v>23022.24074999884</v>
      </c>
      <c r="BE84" s="61">
        <f t="shared" si="88"/>
        <v>4579.7253124995214</v>
      </c>
      <c r="BF84" s="61">
        <f t="shared" si="89"/>
        <v>2491.25</v>
      </c>
      <c r="BG84" s="61">
        <f t="shared" si="90"/>
        <v>3713.2592604165216</v>
      </c>
      <c r="BH84" s="61">
        <f t="shared" si="91"/>
        <v>4579.7253124995214</v>
      </c>
      <c r="BI84" s="61">
        <f t="shared" si="92"/>
        <v>2986.3734583331402</v>
      </c>
      <c r="BJ84" s="61">
        <f t="shared" si="93"/>
        <v>22.898626562497604</v>
      </c>
      <c r="BK84" s="61">
        <f t="shared" si="94"/>
        <v>12.456250000000001</v>
      </c>
      <c r="BL84" s="61">
        <f t="shared" si="95"/>
        <v>18.566296302082606</v>
      </c>
      <c r="BM84" s="61">
        <f t="shared" si="96"/>
        <v>22.898626562497604</v>
      </c>
      <c r="BN84" s="61">
        <f t="shared" si="97"/>
        <v>14.9318672916657</v>
      </c>
      <c r="BO84">
        <f t="shared" si="98"/>
        <v>1833973.7626429105</v>
      </c>
      <c r="BP84" s="42">
        <f t="shared" si="99"/>
        <v>17918.24074999884</v>
      </c>
      <c r="BQ84" s="42">
        <f>ROUNDUP(AK84,-1)-100</f>
        <v>1010</v>
      </c>
      <c r="BR84" s="42">
        <f>ROUNDUP(AL84,-1)-50</f>
        <v>210</v>
      </c>
      <c r="BS84" s="42">
        <f t="shared" si="101"/>
        <v>880</v>
      </c>
      <c r="BT84">
        <f>VLOOKUP($B84,'[4]Food Monitor'!$A$4:$AD$95,16,0)</f>
        <v>1410</v>
      </c>
      <c r="BU84">
        <f>VLOOKUP($B84,'[4]Food Monitor'!$A$4:$AD$95,27,0)</f>
        <v>690</v>
      </c>
    </row>
    <row r="85" spans="1:74" ht="17.25" customHeight="1">
      <c r="A85" s="51" t="s">
        <v>105</v>
      </c>
      <c r="B85" s="51" t="s">
        <v>296</v>
      </c>
      <c r="C85" s="52" t="s">
        <v>297</v>
      </c>
      <c r="D85" s="51" t="s">
        <v>11</v>
      </c>
      <c r="E85" s="59" t="s">
        <v>11</v>
      </c>
      <c r="F85" s="59" t="s">
        <v>298</v>
      </c>
      <c r="G85" s="63">
        <v>195.00339700000001</v>
      </c>
      <c r="H85" s="61" t="s">
        <v>109</v>
      </c>
      <c r="I85" s="61" t="s">
        <v>166</v>
      </c>
      <c r="J85" s="70">
        <v>194507.45</v>
      </c>
      <c r="K85" s="70">
        <f t="shared" si="71"/>
        <v>265046.45</v>
      </c>
      <c r="L85" s="71">
        <f t="shared" si="74"/>
        <v>57.906356058350703</v>
      </c>
      <c r="M85" s="71" t="s">
        <v>299</v>
      </c>
      <c r="N85" s="71" t="s">
        <v>299</v>
      </c>
      <c r="O85" s="71" t="s">
        <v>299</v>
      </c>
      <c r="P85" s="51">
        <f t="shared" si="75"/>
        <v>27</v>
      </c>
      <c r="Q85" s="73">
        <v>45191</v>
      </c>
      <c r="R85" s="73">
        <v>45218</v>
      </c>
      <c r="S85" s="70">
        <f>VLOOKUP(B85,[1]Sheet7!$H$2:$M$93,5,0)</f>
        <v>388156.20000000438</v>
      </c>
      <c r="T85" s="71" t="e">
        <f t="shared" si="76"/>
        <v>#N/A</v>
      </c>
      <c r="U85" s="70">
        <f>VLOOKUP($B85,[1]Sheet7!$H$2:$M$93,4,0)</f>
        <v>0</v>
      </c>
      <c r="V85" s="70">
        <f>VLOOKUP($B85,[1]Sheet7!$H$2:$M$93,2,0)</f>
        <v>388156.20000000438</v>
      </c>
      <c r="W85" s="70">
        <f>VLOOKUP($B85,[1]Sheet7!$H$2:$M$93,3,0)</f>
        <v>0</v>
      </c>
      <c r="X85" s="71">
        <f>VLOOKUP($B85,[1]Sheet8!$D$2:$E$93,2,0)</f>
        <v>1582</v>
      </c>
      <c r="Y85" s="71">
        <f>VLOOKUP($B85,[1]Sheet8!$P$3:$Q$94,2,0)</f>
        <v>4080</v>
      </c>
      <c r="Z85" s="71">
        <f>VLOOKUP($B85,[1]Sheet8!$J$3:$K$94,2,0)</f>
        <v>423</v>
      </c>
      <c r="AA85" s="71">
        <f>VLOOKUP($B85,[1]Sheet7!$H$2:$M$93,6,0)</f>
        <v>50864</v>
      </c>
      <c r="AB85" s="57">
        <v>3359</v>
      </c>
      <c r="AC85" s="57">
        <v>3908.1965</v>
      </c>
      <c r="AD85" s="75">
        <v>0</v>
      </c>
      <c r="AE85" s="57">
        <f t="shared" si="77"/>
        <v>4299.0161500000004</v>
      </c>
      <c r="AF85" s="75">
        <v>1.1000000000000001</v>
      </c>
      <c r="AG85" s="77" t="e">
        <f>VLOOKUP($B85,[2]Sheet1!$E$2:$I$96,4,0)</f>
        <v>#N/A</v>
      </c>
      <c r="AH85" s="77" t="e">
        <f>VLOOKUP($B85,[2]Sheet1!$E$2:$I$96,5,0)</f>
        <v>#N/A</v>
      </c>
      <c r="AI85" s="77" t="e">
        <f t="shared" si="78"/>
        <v>#N/A</v>
      </c>
      <c r="AJ85" s="61" t="e">
        <f t="shared" si="79"/>
        <v>#N/A</v>
      </c>
      <c r="AK85" s="61" t="e">
        <f>VLOOKUP(B85,[2]Sheet9!$D$2:$F$94,3,0)</f>
        <v>#N/A</v>
      </c>
      <c r="AL85" s="61" t="e">
        <f>VLOOKUP(B85,[2]Sheet9!$J$3:$L$95,3,0)</f>
        <v>#N/A</v>
      </c>
      <c r="AM85" s="61" t="e">
        <f>VLOOKUP(B85,[2]Sheet9!$P$3:$R$95,3,0)</f>
        <v>#N/A</v>
      </c>
      <c r="AN85" s="70">
        <f t="shared" si="80"/>
        <v>-29504.497000004339</v>
      </c>
      <c r="AO85" s="71">
        <f t="shared" si="81"/>
        <v>0</v>
      </c>
      <c r="AP85" s="71" t="e">
        <f t="shared" si="82"/>
        <v>#VALUE!</v>
      </c>
      <c r="AQ85" s="71" t="e">
        <f t="shared" si="83"/>
        <v>#VALUE!</v>
      </c>
      <c r="AR85" s="71" t="e">
        <f t="shared" si="84"/>
        <v>#VALUE!</v>
      </c>
      <c r="AS85" s="61" t="str">
        <f t="shared" si="85"/>
        <v>Full of Stock Risk</v>
      </c>
      <c r="AT85" s="57">
        <v>0</v>
      </c>
      <c r="AU85" s="57">
        <f t="shared" ref="AU85:AU93" si="106">AC85*7</f>
        <v>27357.375500000002</v>
      </c>
      <c r="AV85" s="57">
        <v>27357.375499999998</v>
      </c>
      <c r="AW85" s="57">
        <v>27357.375499999998</v>
      </c>
      <c r="AX85" s="57">
        <f>AC85*7</f>
        <v>27357.375500000002</v>
      </c>
      <c r="AY85" s="57">
        <f>AD85*7</f>
        <v>0</v>
      </c>
      <c r="AZ85" s="61">
        <f>IFERROR(VLOOKUP(B85,[3]Sheet2!$E$4:$F$17,2,0),0)</f>
        <v>0</v>
      </c>
      <c r="BA85" s="61">
        <f t="shared" ref="BA85:BA93" si="107">AU85/8</f>
        <v>3419.6719375000002</v>
      </c>
      <c r="BB85" s="61">
        <f t="shared" si="104"/>
        <v>3419.6719374999998</v>
      </c>
      <c r="BC85" s="61">
        <f t="shared" si="105"/>
        <v>3419.6719374999998</v>
      </c>
      <c r="BD85" s="61">
        <f t="shared" si="103"/>
        <v>3419.6719375000002</v>
      </c>
      <c r="BE85" s="61">
        <f t="shared" si="88"/>
        <v>0</v>
      </c>
      <c r="BF85" s="61">
        <f t="shared" si="89"/>
        <v>569.94532291666667</v>
      </c>
      <c r="BG85" s="61">
        <f t="shared" si="90"/>
        <v>569.94532291666667</v>
      </c>
      <c r="BH85" s="61">
        <f t="shared" si="91"/>
        <v>569.94532291666667</v>
      </c>
      <c r="BI85" s="61">
        <f t="shared" si="92"/>
        <v>569.94532291666667</v>
      </c>
      <c r="BJ85" s="61">
        <f t="shared" si="93"/>
        <v>0</v>
      </c>
      <c r="BK85" s="61">
        <f t="shared" si="94"/>
        <v>2.8497266145833335</v>
      </c>
      <c r="BL85" s="61">
        <f t="shared" si="95"/>
        <v>2.8497266145833331</v>
      </c>
      <c r="BM85" s="61">
        <f t="shared" si="96"/>
        <v>2.8497266145833331</v>
      </c>
      <c r="BN85" s="61">
        <f t="shared" si="97"/>
        <v>2.8497266145833335</v>
      </c>
      <c r="BO85">
        <f t="shared" si="98"/>
        <v>350108.80700000434</v>
      </c>
      <c r="BP85" s="42">
        <f t="shared" si="99"/>
        <v>3419.6719375000002</v>
      </c>
      <c r="BQ85" s="42">
        <v>90</v>
      </c>
      <c r="BR85" s="42">
        <v>100</v>
      </c>
      <c r="BS85" s="42">
        <v>130</v>
      </c>
      <c r="BT85">
        <v>300</v>
      </c>
      <c r="BU85">
        <v>150</v>
      </c>
      <c r="BV85" s="82"/>
    </row>
    <row r="86" spans="1:74" ht="16.5">
      <c r="A86" s="51"/>
      <c r="B86" s="51" t="s">
        <v>300</v>
      </c>
      <c r="C86" s="52" t="s">
        <v>301</v>
      </c>
      <c r="D86" s="51" t="s">
        <v>11</v>
      </c>
      <c r="E86" s="59" t="s">
        <v>11</v>
      </c>
      <c r="F86" s="59" t="s">
        <v>174</v>
      </c>
      <c r="G86" s="63">
        <v>329</v>
      </c>
      <c r="H86" s="61" t="s">
        <v>109</v>
      </c>
      <c r="I86" s="61" t="s">
        <v>39</v>
      </c>
      <c r="J86" s="70">
        <v>306212.06000000401</v>
      </c>
      <c r="K86" s="70">
        <f t="shared" si="71"/>
        <v>376751.06000000401</v>
      </c>
      <c r="L86" s="71">
        <f t="shared" si="74"/>
        <v>91.161673117000305</v>
      </c>
      <c r="M86" s="71" t="s">
        <v>299</v>
      </c>
      <c r="N86" s="71" t="s">
        <v>299</v>
      </c>
      <c r="O86" s="71" t="s">
        <v>299</v>
      </c>
      <c r="P86" s="51">
        <f t="shared" si="75"/>
        <v>27</v>
      </c>
      <c r="Q86" s="73">
        <v>45191</v>
      </c>
      <c r="R86" s="73">
        <v>45218</v>
      </c>
      <c r="S86" s="70">
        <f>VLOOKUP(B86,[1]Sheet7!$H$2:$M$93,5,0)</f>
        <v>387396.51000000362</v>
      </c>
      <c r="T86" s="71" t="e">
        <f t="shared" si="76"/>
        <v>#N/A</v>
      </c>
      <c r="U86" s="70">
        <f>VLOOKUP($B86,[1]Sheet7!$H$2:$M$93,4,0)</f>
        <v>0</v>
      </c>
      <c r="V86" s="70">
        <f>VLOOKUP($B86,[1]Sheet7!$H$2:$M$93,2,0)</f>
        <v>320172.63000000268</v>
      </c>
      <c r="W86" s="70">
        <f>VLOOKUP($B86,[1]Sheet7!$H$2:$M$93,3,0)</f>
        <v>67223.880000000019</v>
      </c>
      <c r="X86" s="71">
        <f>VLOOKUP($B86,[1]Sheet8!$D$2:$E$93,2,0)</f>
        <v>1164</v>
      </c>
      <c r="Y86" s="71">
        <f>VLOOKUP($B86,[1]Sheet8!$P$3:$Q$94,2,0)</f>
        <v>8448</v>
      </c>
      <c r="Z86" s="71">
        <f>VLOOKUP($B86,[1]Sheet8!$J$3:$K$94,2,0)</f>
        <v>315</v>
      </c>
      <c r="AA86" s="71">
        <f>VLOOKUP($B86,[1]Sheet7!$H$2:$M$93,6,0)</f>
        <v>45953</v>
      </c>
      <c r="AB86" s="57">
        <v>3359</v>
      </c>
      <c r="AC86" s="57">
        <v>3908.1965</v>
      </c>
      <c r="AD86" s="75">
        <v>0</v>
      </c>
      <c r="AE86" s="57">
        <f t="shared" si="77"/>
        <v>4299.0161500000004</v>
      </c>
      <c r="AF86" s="75">
        <v>1.1000000000000001</v>
      </c>
      <c r="AG86" s="77" t="e">
        <f>VLOOKUP($B86,[2]Sheet1!$E$2:$I$96,4,0)</f>
        <v>#N/A</v>
      </c>
      <c r="AH86" s="77" t="e">
        <f>VLOOKUP($B86,[2]Sheet1!$E$2:$I$96,5,0)</f>
        <v>#N/A</v>
      </c>
      <c r="AI86" s="77" t="e">
        <f t="shared" si="78"/>
        <v>#N/A</v>
      </c>
      <c r="AJ86" s="61" t="e">
        <f t="shared" si="79"/>
        <v>#N/A</v>
      </c>
      <c r="AK86" s="61" t="e">
        <f>VLOOKUP(B86,[2]Sheet9!$D$2:$F$94,3,0)</f>
        <v>#N/A</v>
      </c>
      <c r="AL86" s="61" t="e">
        <f>VLOOKUP(B86,[2]Sheet9!$J$3:$L$95,3,0)</f>
        <v>#N/A</v>
      </c>
      <c r="AM86" s="61" t="e">
        <f>VLOOKUP(B86,[2]Sheet9!$P$3:$R$95,3,0)</f>
        <v>#N/A</v>
      </c>
      <c r="AN86" s="70">
        <f t="shared" si="80"/>
        <v>82959.803000000422</v>
      </c>
      <c r="AO86" s="71">
        <f t="shared" si="81"/>
        <v>10369.975375000053</v>
      </c>
      <c r="AP86" s="71" t="e">
        <f t="shared" si="82"/>
        <v>#VALUE!</v>
      </c>
      <c r="AQ86" s="71" t="e">
        <f t="shared" si="83"/>
        <v>#VALUE!</v>
      </c>
      <c r="AR86" s="71" t="e">
        <f t="shared" si="84"/>
        <v>#VALUE!</v>
      </c>
      <c r="AS86" s="61" t="str">
        <f t="shared" si="85"/>
        <v>Out of Stock Risk</v>
      </c>
      <c r="AT86" s="57">
        <v>0</v>
      </c>
      <c r="AU86" s="57">
        <f t="shared" si="106"/>
        <v>27357.375500000002</v>
      </c>
      <c r="AV86" s="57">
        <v>27357.375499999998</v>
      </c>
      <c r="AW86" s="57">
        <v>27357.375499999998</v>
      </c>
      <c r="AX86" s="57">
        <f>AC86*7</f>
        <v>27357.375500000002</v>
      </c>
      <c r="AY86" s="61">
        <f>AT86/8</f>
        <v>0</v>
      </c>
      <c r="AZ86" s="61">
        <f>IFERROR(VLOOKUP(B86,[3]Sheet2!$E$4:$F$17,2,0),0)</f>
        <v>0</v>
      </c>
      <c r="BA86" s="61">
        <f t="shared" si="107"/>
        <v>3419.6719375000002</v>
      </c>
      <c r="BB86" s="61">
        <f t="shared" si="104"/>
        <v>3419.6719374999998</v>
      </c>
      <c r="BC86" s="61">
        <f t="shared" si="105"/>
        <v>3419.6719374999998</v>
      </c>
      <c r="BD86" s="61">
        <f t="shared" si="103"/>
        <v>3419.6719375000002</v>
      </c>
      <c r="BE86" s="61">
        <f t="shared" si="88"/>
        <v>0</v>
      </c>
      <c r="BF86" s="61">
        <f t="shared" si="89"/>
        <v>569.94532291666667</v>
      </c>
      <c r="BG86" s="61">
        <f t="shared" si="90"/>
        <v>569.94532291666667</v>
      </c>
      <c r="BH86" s="61">
        <f t="shared" si="91"/>
        <v>569.94532291666667</v>
      </c>
      <c r="BI86" s="61">
        <f t="shared" si="92"/>
        <v>569.94532291666667</v>
      </c>
      <c r="BJ86" s="61">
        <f t="shared" si="93"/>
        <v>0</v>
      </c>
      <c r="BK86" s="61">
        <f t="shared" si="94"/>
        <v>2.8497266145833335</v>
      </c>
      <c r="BL86" s="61">
        <f t="shared" si="95"/>
        <v>2.8497266145833331</v>
      </c>
      <c r="BM86" s="61">
        <f t="shared" si="96"/>
        <v>2.8497266145833331</v>
      </c>
      <c r="BN86" s="61">
        <f t="shared" si="97"/>
        <v>2.8497266145833335</v>
      </c>
      <c r="BO86">
        <f t="shared" si="98"/>
        <v>349349.11700000358</v>
      </c>
      <c r="BP86" s="42">
        <f t="shared" si="99"/>
        <v>3419.6719375000002</v>
      </c>
      <c r="BQ86" s="42">
        <v>90</v>
      </c>
      <c r="BR86" s="42">
        <v>100</v>
      </c>
      <c r="BS86" s="42">
        <v>130</v>
      </c>
      <c r="BT86">
        <v>0</v>
      </c>
      <c r="BU86">
        <v>0</v>
      </c>
    </row>
    <row r="87" spans="1:74" ht="16.5">
      <c r="A87" s="51" t="s">
        <v>105</v>
      </c>
      <c r="B87" s="51" t="s">
        <v>302</v>
      </c>
      <c r="C87" s="52" t="s">
        <v>303</v>
      </c>
      <c r="D87" s="51" t="s">
        <v>11</v>
      </c>
      <c r="E87" s="59" t="s">
        <v>11</v>
      </c>
      <c r="F87" s="59" t="s">
        <v>189</v>
      </c>
      <c r="G87" s="63">
        <v>335.47273300000001</v>
      </c>
      <c r="H87" s="61" t="s">
        <v>116</v>
      </c>
      <c r="I87" s="61" t="s">
        <v>166</v>
      </c>
      <c r="J87" s="70">
        <v>413435.69</v>
      </c>
      <c r="K87" s="70">
        <f t="shared" si="71"/>
        <v>571858.64</v>
      </c>
      <c r="L87" s="71">
        <f t="shared" si="74"/>
        <v>54.803609514909297</v>
      </c>
      <c r="M87" s="71">
        <v>2500</v>
      </c>
      <c r="N87" s="71">
        <v>720</v>
      </c>
      <c r="O87" s="71">
        <v>3200</v>
      </c>
      <c r="P87" s="51">
        <f t="shared" si="75"/>
        <v>27</v>
      </c>
      <c r="Q87" s="73">
        <v>45191</v>
      </c>
      <c r="R87" s="73">
        <v>45218</v>
      </c>
      <c r="S87" s="70">
        <f>VLOOKUP(B87,[1]Sheet7!$H$2:$M$93,5,0)</f>
        <v>425741.57000000565</v>
      </c>
      <c r="T87" s="71" t="e">
        <f t="shared" si="76"/>
        <v>#DIV/0!</v>
      </c>
      <c r="U87" s="70">
        <f>VLOOKUP($B87,[1]Sheet7!$H$2:$M$93,4,0)</f>
        <v>202011.74000000118</v>
      </c>
      <c r="V87" s="70">
        <f>VLOOKUP($B87,[1]Sheet7!$H$2:$M$93,2,0)</f>
        <v>224160.3900000015</v>
      </c>
      <c r="W87" s="70">
        <f>VLOOKUP($B87,[1]Sheet7!$H$2:$M$93,3,0)</f>
        <v>0</v>
      </c>
      <c r="X87" s="71">
        <f>VLOOKUP($B87,[1]Sheet8!$D$2:$E$93,2,0)</f>
        <v>4985</v>
      </c>
      <c r="Y87" s="71">
        <f>VLOOKUP($B87,[1]Sheet8!$P$3:$Q$94,2,0)</f>
        <v>3672</v>
      </c>
      <c r="Z87" s="71">
        <f>VLOOKUP($B87,[1]Sheet8!$J$3:$K$94,2,0)</f>
        <v>912</v>
      </c>
      <c r="AA87" s="71">
        <f>VLOOKUP($B87,[1]Sheet7!$H$2:$M$93,6,0)</f>
        <v>55399</v>
      </c>
      <c r="AB87" s="57">
        <v>7543.95</v>
      </c>
      <c r="AC87" s="57">
        <v>8777.3858249999994</v>
      </c>
      <c r="AD87" s="75">
        <v>0</v>
      </c>
      <c r="AE87" s="57">
        <f t="shared" si="77"/>
        <v>9655.1244074999995</v>
      </c>
      <c r="AF87" s="75">
        <v>1.1000000000000001</v>
      </c>
      <c r="AG87" s="77"/>
      <c r="AH87" s="77"/>
      <c r="AI87" s="77"/>
      <c r="AJ87" s="61"/>
      <c r="AK87" s="61" t="e">
        <f>VLOOKUP(B87,[2]Sheet9!$D$2:$F$94,3,0)</f>
        <v>#N/A</v>
      </c>
      <c r="AL87" s="61" t="e">
        <f>VLOOKUP(B87,[2]Sheet9!$J$3:$L$95,3,0)</f>
        <v>#N/A</v>
      </c>
      <c r="AM87" s="61" t="e">
        <f>VLOOKUP(B87,[2]Sheet9!$P$3:$R$95,3,0)</f>
        <v>#N/A</v>
      </c>
      <c r="AN87" s="70">
        <f t="shared" si="80"/>
        <v>356344.32464999426</v>
      </c>
      <c r="AO87" s="71">
        <f t="shared" si="81"/>
        <v>44543.040581249283</v>
      </c>
      <c r="AP87" s="71" t="e">
        <f t="shared" si="82"/>
        <v>#N/A</v>
      </c>
      <c r="AQ87" s="71" t="e">
        <f t="shared" si="83"/>
        <v>#N/A</v>
      </c>
      <c r="AR87" s="71" t="e">
        <f t="shared" si="84"/>
        <v>#N/A</v>
      </c>
      <c r="AS87" s="61" t="str">
        <f t="shared" si="85"/>
        <v>Out of Stock Risk</v>
      </c>
      <c r="AT87" s="57">
        <v>56507.957475000003</v>
      </c>
      <c r="AU87" s="57">
        <f t="shared" si="106"/>
        <v>61441.700774999998</v>
      </c>
      <c r="AV87" s="57">
        <v>61441.700774999998</v>
      </c>
      <c r="AW87" s="57">
        <v>61441.700774999998</v>
      </c>
      <c r="AX87" s="57">
        <v>0</v>
      </c>
      <c r="AY87" s="61">
        <v>0</v>
      </c>
      <c r="AZ87" s="61">
        <f>IFERROR(VLOOKUP(B87,[3]Sheet2!$E$4:$F$17,2,0),0)</f>
        <v>0</v>
      </c>
      <c r="BA87" s="61">
        <f t="shared" si="107"/>
        <v>7680.2125968749997</v>
      </c>
      <c r="BB87" s="61">
        <f t="shared" si="104"/>
        <v>7680.2125968749997</v>
      </c>
      <c r="BC87" s="61">
        <f t="shared" si="105"/>
        <v>7680.2125968749997</v>
      </c>
      <c r="BD87" s="61">
        <f t="shared" si="103"/>
        <v>0</v>
      </c>
      <c r="BE87" s="61">
        <f t="shared" si="88"/>
        <v>0</v>
      </c>
      <c r="BF87" s="61">
        <f t="shared" si="89"/>
        <v>1280.0354328124999</v>
      </c>
      <c r="BG87" s="61">
        <f t="shared" si="90"/>
        <v>1280.0354328124999</v>
      </c>
      <c r="BH87" s="61">
        <f t="shared" si="91"/>
        <v>1280.0354328124999</v>
      </c>
      <c r="BI87" s="61">
        <f t="shared" si="92"/>
        <v>0</v>
      </c>
      <c r="BJ87" s="61">
        <f t="shared" si="93"/>
        <v>0</v>
      </c>
      <c r="BK87" s="61">
        <f t="shared" si="94"/>
        <v>6.4001771640624998</v>
      </c>
      <c r="BL87" s="61">
        <f t="shared" si="95"/>
        <v>6.4001771640624998</v>
      </c>
      <c r="BM87" s="61">
        <f t="shared" si="96"/>
        <v>6.4001771640624998</v>
      </c>
      <c r="BN87" s="61">
        <f t="shared" si="97"/>
        <v>0</v>
      </c>
      <c r="BO87">
        <f t="shared" si="98"/>
        <v>335357.50505000568</v>
      </c>
      <c r="BP87" s="42">
        <f t="shared" si="99"/>
        <v>0</v>
      </c>
      <c r="BQ87" s="42">
        <v>0</v>
      </c>
      <c r="BR87" s="42">
        <v>0</v>
      </c>
      <c r="BS87" s="42">
        <v>0</v>
      </c>
      <c r="BT87">
        <f>VLOOKUP($B87,'[4]Food Monitor'!$A$4:$AD$95,16,0)</f>
        <v>0</v>
      </c>
      <c r="BU87">
        <f>VLOOKUP($B87,'[4]Food Monitor'!$A$4:$AD$95,27,0)</f>
        <v>0</v>
      </c>
    </row>
    <row r="88" spans="1:74" ht="16.5">
      <c r="A88" s="51" t="s">
        <v>105</v>
      </c>
      <c r="B88" s="95" t="s">
        <v>304</v>
      </c>
      <c r="C88" s="52" t="s">
        <v>305</v>
      </c>
      <c r="D88" s="51" t="s">
        <v>20</v>
      </c>
      <c r="E88" s="59" t="s">
        <v>20</v>
      </c>
      <c r="F88" s="59" t="s">
        <v>282</v>
      </c>
      <c r="G88" s="63">
        <v>349</v>
      </c>
      <c r="H88" s="61" t="s">
        <v>109</v>
      </c>
      <c r="I88" s="61" t="s">
        <v>306</v>
      </c>
      <c r="J88" s="70">
        <v>352433.22</v>
      </c>
      <c r="K88" s="70">
        <f t="shared" si="71"/>
        <v>422972.22</v>
      </c>
      <c r="L88" s="71">
        <f t="shared" si="74"/>
        <v>104.92206609109853</v>
      </c>
      <c r="M88" s="71" t="s">
        <v>299</v>
      </c>
      <c r="N88" s="71" t="s">
        <v>299</v>
      </c>
      <c r="O88" s="71" t="s">
        <v>299</v>
      </c>
      <c r="P88" s="51">
        <f t="shared" si="75"/>
        <v>20</v>
      </c>
      <c r="Q88" s="73">
        <v>45191</v>
      </c>
      <c r="R88" s="73">
        <v>45211</v>
      </c>
      <c r="S88" s="70">
        <f>VLOOKUP(B88,[1]Sheet7!$H$2:$M$93,5,0)</f>
        <v>497481.25000000553</v>
      </c>
      <c r="T88" s="71" t="e">
        <f t="shared" si="76"/>
        <v>#N/A</v>
      </c>
      <c r="U88" s="70">
        <f>VLOOKUP($B88,[1]Sheet7!$H$2:$M$93,4,0)</f>
        <v>0</v>
      </c>
      <c r="V88" s="70">
        <f>VLOOKUP($B88,[1]Sheet7!$H$2:$M$93,2,0)</f>
        <v>0</v>
      </c>
      <c r="W88" s="70">
        <f>VLOOKUP($B88,[1]Sheet7!$H$2:$M$93,3,0)</f>
        <v>497481.25000000553</v>
      </c>
      <c r="X88" s="71">
        <f>VLOOKUP($B88,[1]Sheet8!$D$2:$E$93,2,0)</f>
        <v>2104</v>
      </c>
      <c r="Y88" s="71">
        <f>VLOOKUP($B88,[1]Sheet8!$P$3:$Q$94,2,0)</f>
        <v>5316</v>
      </c>
      <c r="Z88" s="71">
        <f>VLOOKUP($B88,[1]Sheet8!$J$3:$K$94,2,0)</f>
        <v>525</v>
      </c>
      <c r="AA88" s="71">
        <f>VLOOKUP($B88,[1]Sheet7!$H$2:$M$93,6,0)</f>
        <v>60999</v>
      </c>
      <c r="AB88" s="57">
        <v>3359</v>
      </c>
      <c r="AC88" s="57">
        <v>3908.1965</v>
      </c>
      <c r="AD88" s="75">
        <v>0</v>
      </c>
      <c r="AE88" s="57">
        <f t="shared" si="77"/>
        <v>4299.0161500000004</v>
      </c>
      <c r="AF88" s="75">
        <v>1.1000000000000001</v>
      </c>
      <c r="AG88" s="77" t="e">
        <f>VLOOKUP($B88,[2]Sheet1!$E$2:$I$96,4,0)</f>
        <v>#N/A</v>
      </c>
      <c r="AH88" s="77" t="e">
        <f>VLOOKUP($B88,[2]Sheet1!$E$2:$I$96,5,0)</f>
        <v>#N/A</v>
      </c>
      <c r="AI88" s="77" t="e">
        <f t="shared" ref="AI88:AJ93" si="108">AG88*7</f>
        <v>#N/A</v>
      </c>
      <c r="AJ88" s="61" t="e">
        <f t="shared" si="108"/>
        <v>#N/A</v>
      </c>
      <c r="AK88" s="61" t="e">
        <f>VLOOKUP(B88,[2]Sheet9!$D$2:$F$94,3,0)</f>
        <v>#N/A</v>
      </c>
      <c r="AL88" s="61" t="e">
        <f>VLOOKUP(B88,[2]Sheet9!$J$3:$L$95,3,0)</f>
        <v>#N/A</v>
      </c>
      <c r="AM88" s="61" t="e">
        <f>VLOOKUP(B88,[2]Sheet9!$P$3:$R$95,3,0)</f>
        <v>#N/A</v>
      </c>
      <c r="AN88" s="70">
        <f t="shared" si="80"/>
        <v>19096.222999994468</v>
      </c>
      <c r="AO88" s="71">
        <f t="shared" si="81"/>
        <v>2387.0278749993086</v>
      </c>
      <c r="AP88" s="71" t="e">
        <f t="shared" si="82"/>
        <v>#VALUE!</v>
      </c>
      <c r="AQ88" s="71" t="e">
        <f t="shared" si="83"/>
        <v>#VALUE!</v>
      </c>
      <c r="AR88" s="71" t="e">
        <f t="shared" si="84"/>
        <v>#VALUE!</v>
      </c>
      <c r="AS88" s="61" t="str">
        <f t="shared" si="85"/>
        <v>Out of Stock Risk</v>
      </c>
      <c r="AT88" s="57">
        <v>0</v>
      </c>
      <c r="AU88" s="57">
        <f t="shared" si="106"/>
        <v>27357.375500000002</v>
      </c>
      <c r="AV88" s="57">
        <v>320000</v>
      </c>
      <c r="AW88" s="57">
        <v>320000</v>
      </c>
      <c r="AX88" s="57">
        <f>AC88*7</f>
        <v>27357.375500000002</v>
      </c>
      <c r="AY88" s="61">
        <f>AT88/8</f>
        <v>0</v>
      </c>
      <c r="AZ88" s="61">
        <f>IFERROR(VLOOKUP(B88,[3]Sheet2!$E$4:$F$17,2,0),0)</f>
        <v>0</v>
      </c>
      <c r="BA88" s="61">
        <f t="shared" si="107"/>
        <v>3419.6719375000002</v>
      </c>
      <c r="BB88" s="61">
        <f t="shared" si="104"/>
        <v>40000</v>
      </c>
      <c r="BC88" s="61">
        <f t="shared" si="105"/>
        <v>40000</v>
      </c>
      <c r="BD88" s="61">
        <f t="shared" si="103"/>
        <v>3419.6719375000002</v>
      </c>
      <c r="BE88" s="61">
        <f t="shared" si="88"/>
        <v>0</v>
      </c>
      <c r="BF88" s="61">
        <f t="shared" si="89"/>
        <v>569.94532291666667</v>
      </c>
      <c r="BG88" s="61">
        <f t="shared" si="90"/>
        <v>6666.666666666667</v>
      </c>
      <c r="BH88" s="61">
        <f t="shared" si="91"/>
        <v>6666.666666666667</v>
      </c>
      <c r="BI88" s="61">
        <f t="shared" si="92"/>
        <v>569.94532291666667</v>
      </c>
      <c r="BJ88" s="61">
        <f t="shared" si="93"/>
        <v>0</v>
      </c>
      <c r="BK88" s="61">
        <f t="shared" si="94"/>
        <v>2.8497266145833335</v>
      </c>
      <c r="BL88" s="61">
        <f t="shared" si="95"/>
        <v>33.333333333333336</v>
      </c>
      <c r="BM88" s="61">
        <f t="shared" si="96"/>
        <v>33.333333333333336</v>
      </c>
      <c r="BN88" s="61">
        <f t="shared" si="97"/>
        <v>2.8497266145833335</v>
      </c>
      <c r="BO88">
        <f t="shared" si="98"/>
        <v>1044719.1060000055</v>
      </c>
      <c r="BP88" s="42">
        <f t="shared" si="99"/>
        <v>3419.6719375000002</v>
      </c>
      <c r="BQ88" s="42">
        <v>290</v>
      </c>
      <c r="BR88" s="42">
        <v>70</v>
      </c>
      <c r="BS88" s="42">
        <v>160</v>
      </c>
      <c r="BT88">
        <v>500</v>
      </c>
      <c r="BU88">
        <v>210</v>
      </c>
    </row>
    <row r="89" spans="1:74" ht="16.5">
      <c r="A89" s="51" t="s">
        <v>105</v>
      </c>
      <c r="B89" s="51" t="s">
        <v>307</v>
      </c>
      <c r="C89" s="52" t="s">
        <v>308</v>
      </c>
      <c r="D89" s="51" t="s">
        <v>11</v>
      </c>
      <c r="E89" s="59" t="s">
        <v>11</v>
      </c>
      <c r="F89" s="59" t="s">
        <v>309</v>
      </c>
      <c r="G89" s="63">
        <v>311.87537099999997</v>
      </c>
      <c r="H89" s="61" t="s">
        <v>109</v>
      </c>
      <c r="I89" s="61" t="s">
        <v>166</v>
      </c>
      <c r="J89" s="70">
        <v>259636.34</v>
      </c>
      <c r="K89" s="70">
        <f t="shared" si="71"/>
        <v>326648.39</v>
      </c>
      <c r="L89" s="71">
        <f t="shared" si="74"/>
        <v>81.363920966453037</v>
      </c>
      <c r="M89" s="71">
        <v>1600</v>
      </c>
      <c r="N89" s="71">
        <v>400</v>
      </c>
      <c r="O89" s="71">
        <v>2400</v>
      </c>
      <c r="P89" s="51">
        <f t="shared" si="75"/>
        <v>27</v>
      </c>
      <c r="Q89" s="73">
        <v>45191</v>
      </c>
      <c r="R89" s="73">
        <v>45218</v>
      </c>
      <c r="S89" s="70">
        <f>VLOOKUP(B89,[1]Sheet7!$H$2:$M$93,5,0)</f>
        <v>372371.60000000359</v>
      </c>
      <c r="T89" s="71">
        <f t="shared" si="76"/>
        <v>61.184949063424838</v>
      </c>
      <c r="U89" s="70">
        <f>VLOOKUP($B89,[1]Sheet7!$H$2:$M$93,4,0)</f>
        <v>-178616.27000000063</v>
      </c>
      <c r="V89" s="70">
        <f>VLOOKUP($B89,[1]Sheet7!$H$2:$M$93,2,0)</f>
        <v>550987.87000000873</v>
      </c>
      <c r="W89" s="70">
        <f>VLOOKUP($B89,[1]Sheet7!$H$2:$M$93,3,0)</f>
        <v>0</v>
      </c>
      <c r="X89" s="71">
        <f>VLOOKUP($B89,[1]Sheet8!$D$2:$E$93,2,0)</f>
        <v>4625</v>
      </c>
      <c r="Y89" s="71">
        <f>VLOOKUP($B89,[1]Sheet8!$P$3:$Q$94,2,0)</f>
        <v>4161</v>
      </c>
      <c r="Z89" s="71">
        <f>VLOOKUP($B89,[1]Sheet8!$J$3:$K$94,2,0)</f>
        <v>577</v>
      </c>
      <c r="AA89" s="71">
        <f>VLOOKUP($B89,[1]Sheet7!$H$2:$M$93,6,0)</f>
        <v>45007</v>
      </c>
      <c r="AB89" s="57">
        <v>3191.05</v>
      </c>
      <c r="AC89" s="57">
        <v>3712.7866749999998</v>
      </c>
      <c r="AD89" s="75">
        <v>0</v>
      </c>
      <c r="AE89" s="57">
        <f t="shared" si="77"/>
        <v>4084.0653425</v>
      </c>
      <c r="AF89" s="75">
        <v>1.1000000000000001</v>
      </c>
      <c r="AG89" s="77">
        <f>VLOOKUP($B89,[2]Sheet1!$E$2:$I$96,4,0)</f>
        <v>6086</v>
      </c>
      <c r="AH89" s="77">
        <f>VLOOKUP($B89,[2]Sheet1!$E$2:$I$96,5,0)</f>
        <v>874</v>
      </c>
      <c r="AI89" s="77">
        <f t="shared" si="108"/>
        <v>42602</v>
      </c>
      <c r="AJ89" s="61">
        <f t="shared" si="108"/>
        <v>6118</v>
      </c>
      <c r="AK89" s="61">
        <f>VLOOKUP(B89,[2]Sheet9!$D$2:$F$94,3,0)</f>
        <v>423</v>
      </c>
      <c r="AL89" s="61">
        <f>VLOOKUP(B89,[2]Sheet9!$J$3:$L$95,3,0)</f>
        <v>123</v>
      </c>
      <c r="AM89" s="61">
        <f>VLOOKUP(B89,[2]Sheet9!$P$3:$R$95,3,0)</f>
        <v>539</v>
      </c>
      <c r="AN89" s="70">
        <f t="shared" si="80"/>
        <v>43201.780349996407</v>
      </c>
      <c r="AO89" s="71">
        <f t="shared" si="81"/>
        <v>5400.2225437495508</v>
      </c>
      <c r="AP89" s="71">
        <f t="shared" si="82"/>
        <v>-1393.4285714285716</v>
      </c>
      <c r="AQ89" s="71">
        <f t="shared" si="83"/>
        <v>297.42857142857144</v>
      </c>
      <c r="AR89" s="71">
        <f t="shared" si="84"/>
        <v>318</v>
      </c>
      <c r="AS89" s="61" t="str">
        <f t="shared" si="85"/>
        <v>Out of Stock Risk</v>
      </c>
      <c r="AT89" s="57">
        <v>120000</v>
      </c>
      <c r="AU89" s="57">
        <f t="shared" si="106"/>
        <v>25989.506724999999</v>
      </c>
      <c r="AV89" s="57">
        <v>70000</v>
      </c>
      <c r="AW89" s="57">
        <v>70000</v>
      </c>
      <c r="AX89" s="57">
        <f>AI89*1.17</f>
        <v>49844.34</v>
      </c>
      <c r="AY89" s="61">
        <f>AT89/8</f>
        <v>15000</v>
      </c>
      <c r="AZ89" s="61">
        <f>IFERROR(VLOOKUP(B89,[3]Sheet2!$E$4:$F$17,2,0),0)</f>
        <v>0</v>
      </c>
      <c r="BA89" s="61">
        <f t="shared" si="107"/>
        <v>3248.6883406249999</v>
      </c>
      <c r="BB89" s="61">
        <f t="shared" si="104"/>
        <v>8750</v>
      </c>
      <c r="BC89" s="61">
        <f t="shared" si="105"/>
        <v>8750</v>
      </c>
      <c r="BD89" s="61">
        <f t="shared" si="103"/>
        <v>6230.5424999999996</v>
      </c>
      <c r="BE89" s="61">
        <f t="shared" si="88"/>
        <v>2500</v>
      </c>
      <c r="BF89" s="61">
        <f t="shared" si="89"/>
        <v>541.44805677083332</v>
      </c>
      <c r="BG89" s="61">
        <f t="shared" si="90"/>
        <v>1458.3333333333333</v>
      </c>
      <c r="BH89" s="61">
        <f t="shared" si="91"/>
        <v>1458.3333333333333</v>
      </c>
      <c r="BI89" s="61">
        <f t="shared" si="92"/>
        <v>1038.4237499999999</v>
      </c>
      <c r="BJ89" s="61">
        <f t="shared" si="93"/>
        <v>12.5</v>
      </c>
      <c r="BK89" s="61">
        <f t="shared" si="94"/>
        <v>2.7072402838541665</v>
      </c>
      <c r="BL89" s="61">
        <f t="shared" si="95"/>
        <v>7.291666666666667</v>
      </c>
      <c r="BM89" s="61">
        <f t="shared" si="96"/>
        <v>7.291666666666667</v>
      </c>
      <c r="BN89" s="61">
        <f t="shared" si="97"/>
        <v>5.1921187499999997</v>
      </c>
      <c r="BO89">
        <f t="shared" si="98"/>
        <v>568102.39647500357</v>
      </c>
      <c r="BP89" s="42">
        <f t="shared" si="99"/>
        <v>6230.5424999999996</v>
      </c>
      <c r="BQ89" s="42">
        <f>ROUNDUP(AK89,-1)-100</f>
        <v>330</v>
      </c>
      <c r="BR89" s="42">
        <f>ROUNDUP(AL89,-1)</f>
        <v>130</v>
      </c>
      <c r="BS89" s="42">
        <f>ROUNDUP(AM89,-2)</f>
        <v>600</v>
      </c>
      <c r="BT89">
        <f>VLOOKUP($B89,'[4]Food Monitor'!$A$4:$AD$95,16,0)</f>
        <v>0</v>
      </c>
      <c r="BU89">
        <f>VLOOKUP($B89,'[4]Food Monitor'!$A$4:$AD$95,27,0)</f>
        <v>280</v>
      </c>
    </row>
    <row r="90" spans="1:74" ht="16.5">
      <c r="A90" s="51" t="s">
        <v>105</v>
      </c>
      <c r="B90" s="51" t="s">
        <v>310</v>
      </c>
      <c r="C90" s="52" t="s">
        <v>311</v>
      </c>
      <c r="D90" s="51" t="s">
        <v>11</v>
      </c>
      <c r="E90" s="59" t="s">
        <v>11</v>
      </c>
      <c r="F90" s="59" t="s">
        <v>17</v>
      </c>
      <c r="G90" s="63">
        <v>376.53585900000002</v>
      </c>
      <c r="H90" s="61" t="s">
        <v>121</v>
      </c>
      <c r="I90" s="61" t="s">
        <v>166</v>
      </c>
      <c r="J90" s="70">
        <v>374719.41</v>
      </c>
      <c r="K90" s="70">
        <f t="shared" si="71"/>
        <v>421780.41</v>
      </c>
      <c r="L90" s="71">
        <f t="shared" si="74"/>
        <v>167.2108032128514</v>
      </c>
      <c r="M90" s="71">
        <v>2300</v>
      </c>
      <c r="N90" s="71">
        <v>600</v>
      </c>
      <c r="O90" s="71">
        <v>2800</v>
      </c>
      <c r="P90" s="51">
        <f t="shared" si="75"/>
        <v>27</v>
      </c>
      <c r="Q90" s="73">
        <v>45191</v>
      </c>
      <c r="R90" s="73">
        <v>45218</v>
      </c>
      <c r="S90" s="70">
        <f>VLOOKUP(B90,[1]Sheet7!$H$2:$M$93,5,0)</f>
        <v>440091.6000000065</v>
      </c>
      <c r="T90" s="71">
        <f t="shared" si="76"/>
        <v>133.11905626134498</v>
      </c>
      <c r="U90" s="70">
        <f>VLOOKUP($B90,[1]Sheet7!$H$2:$M$93,4,0)</f>
        <v>-48752.719999999928</v>
      </c>
      <c r="V90" s="70">
        <f>VLOOKUP($B90,[1]Sheet7!$H$2:$M$93,2,0)</f>
        <v>445345.9500000077</v>
      </c>
      <c r="W90" s="70">
        <f>VLOOKUP($B90,[1]Sheet7!$H$2:$M$93,3,0)</f>
        <v>43375.779999999962</v>
      </c>
      <c r="X90" s="71">
        <f>VLOOKUP($B90,[1]Sheet8!$D$2:$E$93,2,0)</f>
        <v>3192</v>
      </c>
      <c r="Y90" s="71">
        <f>VLOOKUP($B90,[1]Sheet8!$P$3:$Q$94,2,0)</f>
        <v>5468</v>
      </c>
      <c r="Z90" s="71">
        <f>VLOOKUP($B90,[1]Sheet8!$J$3:$K$94,2,0)</f>
        <v>532</v>
      </c>
      <c r="AA90" s="71">
        <f>VLOOKUP($B90,[1]Sheet7!$H$2:$M$93,6,0)</f>
        <v>55352</v>
      </c>
      <c r="AB90" s="57">
        <v>2241</v>
      </c>
      <c r="AC90" s="57">
        <v>2607.4034999999999</v>
      </c>
      <c r="AD90" s="75">
        <v>0</v>
      </c>
      <c r="AE90" s="57">
        <f t="shared" si="77"/>
        <v>2868.1438499999999</v>
      </c>
      <c r="AF90" s="75">
        <v>1.1000000000000001</v>
      </c>
      <c r="AG90" s="77">
        <f>VLOOKUP($B90,[2]Sheet1!$E$2:$I$96,4,0)</f>
        <v>3306</v>
      </c>
      <c r="AH90" s="77">
        <f>VLOOKUP($B90,[2]Sheet1!$E$2:$I$96,5,0)</f>
        <v>511</v>
      </c>
      <c r="AI90" s="77">
        <f t="shared" si="108"/>
        <v>23142</v>
      </c>
      <c r="AJ90" s="61">
        <f t="shared" si="108"/>
        <v>3577</v>
      </c>
      <c r="AK90" s="61">
        <f>VLOOKUP(B90,[2]Sheet9!$D$2:$F$94,3,0)</f>
        <v>234</v>
      </c>
      <c r="AL90" s="61">
        <f>VLOOKUP(B90,[2]Sheet9!$J$3:$L$95,3,0)</f>
        <v>39</v>
      </c>
      <c r="AM90" s="61">
        <f>VLOOKUP(B90,[2]Sheet9!$P$3:$R$95,3,0)</f>
        <v>187</v>
      </c>
      <c r="AN90" s="70">
        <f t="shared" si="80"/>
        <v>44138.756999993464</v>
      </c>
      <c r="AO90" s="71">
        <f t="shared" si="81"/>
        <v>5517.344624999183</v>
      </c>
      <c r="AP90" s="71">
        <f t="shared" si="82"/>
        <v>10.571428571428442</v>
      </c>
      <c r="AQ90" s="71">
        <f t="shared" si="83"/>
        <v>218.42857142857144</v>
      </c>
      <c r="AR90" s="71">
        <f t="shared" si="84"/>
        <v>-1946.7142857142858</v>
      </c>
      <c r="AS90" s="61" t="str">
        <f t="shared" si="85"/>
        <v>Out of Stock Risk</v>
      </c>
      <c r="AT90" s="57">
        <v>30000</v>
      </c>
      <c r="AU90" s="57">
        <f t="shared" si="106"/>
        <v>18251.824499999999</v>
      </c>
      <c r="AV90" s="57">
        <v>30000</v>
      </c>
      <c r="AW90" s="57">
        <v>30000</v>
      </c>
      <c r="AX90" s="57">
        <f>AI90*1.3</f>
        <v>30084.600000000002</v>
      </c>
      <c r="AY90" s="61">
        <f>AT90/8</f>
        <v>3750</v>
      </c>
      <c r="AZ90" s="61">
        <f>IFERROR(VLOOKUP(B90,[3]Sheet2!$E$4:$F$17,2,0),0)</f>
        <v>0</v>
      </c>
      <c r="BA90" s="61">
        <f t="shared" si="107"/>
        <v>2281.4780624999999</v>
      </c>
      <c r="BB90" s="61">
        <f t="shared" si="104"/>
        <v>3750</v>
      </c>
      <c r="BC90" s="61">
        <f t="shared" si="105"/>
        <v>3750</v>
      </c>
      <c r="BD90" s="61">
        <f t="shared" si="103"/>
        <v>3760.5750000000003</v>
      </c>
      <c r="BE90" s="61">
        <f t="shared" si="88"/>
        <v>625</v>
      </c>
      <c r="BF90" s="61">
        <f t="shared" si="89"/>
        <v>380.24634374999999</v>
      </c>
      <c r="BG90" s="61">
        <f t="shared" si="90"/>
        <v>625</v>
      </c>
      <c r="BH90" s="61">
        <f t="shared" si="91"/>
        <v>625</v>
      </c>
      <c r="BI90" s="61">
        <f t="shared" si="92"/>
        <v>626.76250000000005</v>
      </c>
      <c r="BJ90" s="61">
        <f t="shared" si="93"/>
        <v>3.125</v>
      </c>
      <c r="BK90" s="61">
        <f t="shared" si="94"/>
        <v>1.9012317187499999</v>
      </c>
      <c r="BL90" s="61">
        <f t="shared" si="95"/>
        <v>3.125</v>
      </c>
      <c r="BM90" s="61">
        <f t="shared" si="96"/>
        <v>3.125</v>
      </c>
      <c r="BN90" s="61">
        <f t="shared" si="97"/>
        <v>3.1338125000000003</v>
      </c>
      <c r="BO90">
        <f t="shared" si="98"/>
        <v>480036.91950000648</v>
      </c>
      <c r="BP90" s="42">
        <f t="shared" si="99"/>
        <v>3760.5750000000003</v>
      </c>
      <c r="BQ90" s="42">
        <f>ROUNDUP(AK90,-1)-50</f>
        <v>190</v>
      </c>
      <c r="BR90" s="42">
        <f>ROUNDUP(AL90,-1)</f>
        <v>40</v>
      </c>
      <c r="BS90" s="42">
        <f>ROUNDUP(AM90,-1)-100</f>
        <v>90</v>
      </c>
      <c r="BT90">
        <f>VLOOKUP($B90,'[4]Food Monitor'!$A$4:$AD$95,16,0)</f>
        <v>360</v>
      </c>
      <c r="BU90">
        <f>VLOOKUP($B90,'[4]Food Monitor'!$A$4:$AD$95,27,0)</f>
        <v>180</v>
      </c>
    </row>
    <row r="91" spans="1:74" ht="16.5">
      <c r="A91" s="51" t="s">
        <v>105</v>
      </c>
      <c r="B91" s="51" t="s">
        <v>312</v>
      </c>
      <c r="C91" s="52" t="s">
        <v>313</v>
      </c>
      <c r="D91" s="51" t="s">
        <v>11</v>
      </c>
      <c r="E91" s="59" t="s">
        <v>11</v>
      </c>
      <c r="F91" s="59" t="s">
        <v>314</v>
      </c>
      <c r="G91" s="63">
        <v>301</v>
      </c>
      <c r="H91" s="61" t="s">
        <v>121</v>
      </c>
      <c r="I91" s="61" t="s">
        <v>166</v>
      </c>
      <c r="J91" s="70">
        <v>321600.13</v>
      </c>
      <c r="K91" s="70">
        <f t="shared" si="71"/>
        <v>368661.13</v>
      </c>
      <c r="L91" s="71">
        <f t="shared" si="74"/>
        <v>143.50742079428827</v>
      </c>
      <c r="M91" s="71">
        <v>1600</v>
      </c>
      <c r="N91" s="71">
        <v>500</v>
      </c>
      <c r="O91" s="71">
        <v>2400</v>
      </c>
      <c r="P91" s="51">
        <f t="shared" si="75"/>
        <v>27</v>
      </c>
      <c r="Q91" s="73">
        <v>45191</v>
      </c>
      <c r="R91" s="73">
        <v>45218</v>
      </c>
      <c r="S91" s="70">
        <f>VLOOKUP(B91,[1]Sheet7!$H$2:$M$93,5,0)</f>
        <v>347594.26000000368</v>
      </c>
      <c r="T91" s="71">
        <f t="shared" si="76"/>
        <v>31.726383716685255</v>
      </c>
      <c r="U91" s="70">
        <f>VLOOKUP($B91,[1]Sheet7!$H$2:$M$93,4,0)</f>
        <v>-86636.940000000483</v>
      </c>
      <c r="V91" s="70">
        <f>VLOOKUP($B91,[1]Sheet7!$H$2:$M$93,2,0)</f>
        <v>434231.2000000077</v>
      </c>
      <c r="W91" s="70">
        <f>VLOOKUP($B91,[1]Sheet7!$H$2:$M$93,3,0)</f>
        <v>0</v>
      </c>
      <c r="X91" s="71">
        <f>VLOOKUP($B91,[1]Sheet8!$D$2:$E$93,2,0)</f>
        <v>1383</v>
      </c>
      <c r="Y91" s="71">
        <f>VLOOKUP($B91,[1]Sheet8!$P$3:$Q$94,2,0)</f>
        <v>3801</v>
      </c>
      <c r="Z91" s="71">
        <f>VLOOKUP($B91,[1]Sheet8!$J$3:$K$94,2,0)</f>
        <v>343</v>
      </c>
      <c r="AA91" s="71">
        <f>VLOOKUP($B91,[1]Sheet7!$H$2:$M$93,6,0)</f>
        <v>45461</v>
      </c>
      <c r="AB91" s="57">
        <v>2241</v>
      </c>
      <c r="AC91" s="57">
        <v>2607.4034999999999</v>
      </c>
      <c r="AD91" s="75">
        <v>0</v>
      </c>
      <c r="AE91" s="57">
        <f t="shared" si="77"/>
        <v>2868.1438499999999</v>
      </c>
      <c r="AF91" s="75">
        <v>1.1000000000000001</v>
      </c>
      <c r="AG91" s="77">
        <f>VLOOKUP($B91,[2]Sheet1!$E$2:$I$96,4,0)</f>
        <v>10956</v>
      </c>
      <c r="AH91" s="77">
        <f>VLOOKUP($B91,[2]Sheet1!$E$2:$I$96,5,0)</f>
        <v>1474</v>
      </c>
      <c r="AI91" s="77">
        <f t="shared" si="108"/>
        <v>76692</v>
      </c>
      <c r="AJ91" s="61">
        <f t="shared" si="108"/>
        <v>10318</v>
      </c>
      <c r="AK91" s="61">
        <f>VLOOKUP(B91,[2]Sheet9!$D$2:$F$94,3,0)</f>
        <v>580</v>
      </c>
      <c r="AL91" s="61">
        <f>VLOOKUP(B91,[2]Sheet9!$J$3:$L$95,3,0)</f>
        <v>83</v>
      </c>
      <c r="AM91" s="61">
        <f>VLOOKUP(B91,[2]Sheet9!$P$3:$R$95,3,0)</f>
        <v>743</v>
      </c>
      <c r="AN91" s="70">
        <f t="shared" si="80"/>
        <v>83516.816999996314</v>
      </c>
      <c r="AO91" s="71">
        <f t="shared" si="81"/>
        <v>10439.602124999539</v>
      </c>
      <c r="AP91" s="71">
        <f t="shared" si="82"/>
        <v>2454.1428571428573</v>
      </c>
      <c r="AQ91" s="71">
        <f t="shared" si="83"/>
        <v>477.14285714285711</v>
      </c>
      <c r="AR91" s="71">
        <f t="shared" si="84"/>
        <v>1464.8571428571431</v>
      </c>
      <c r="AS91" s="61" t="str">
        <f t="shared" si="85"/>
        <v>Out of Stock Risk</v>
      </c>
      <c r="AT91" s="57">
        <v>30000</v>
      </c>
      <c r="AU91" s="57">
        <f t="shared" si="106"/>
        <v>18251.824499999999</v>
      </c>
      <c r="AV91" s="57">
        <v>30000</v>
      </c>
      <c r="AW91" s="57">
        <v>30000</v>
      </c>
      <c r="AX91" s="57">
        <f>AI91*1.1</f>
        <v>84361.200000000012</v>
      </c>
      <c r="AY91" s="61">
        <f>AT91/8</f>
        <v>3750</v>
      </c>
      <c r="AZ91" s="61">
        <f>IFERROR(VLOOKUP(B91,[3]Sheet2!$E$4:$F$17,2,0),0)</f>
        <v>0</v>
      </c>
      <c r="BA91" s="61">
        <f t="shared" si="107"/>
        <v>2281.4780624999999</v>
      </c>
      <c r="BB91" s="61">
        <f t="shared" si="104"/>
        <v>3750</v>
      </c>
      <c r="BC91" s="61">
        <f t="shared" si="105"/>
        <v>3750</v>
      </c>
      <c r="BD91" s="61">
        <f t="shared" si="103"/>
        <v>10545.150000000001</v>
      </c>
      <c r="BE91" s="61">
        <f t="shared" si="88"/>
        <v>625</v>
      </c>
      <c r="BF91" s="61">
        <f t="shared" si="89"/>
        <v>380.24634374999999</v>
      </c>
      <c r="BG91" s="61">
        <f t="shared" si="90"/>
        <v>625</v>
      </c>
      <c r="BH91" s="61">
        <f t="shared" si="91"/>
        <v>625</v>
      </c>
      <c r="BI91" s="61">
        <f t="shared" si="92"/>
        <v>1757.5250000000003</v>
      </c>
      <c r="BJ91" s="61">
        <f t="shared" si="93"/>
        <v>3.125</v>
      </c>
      <c r="BK91" s="61">
        <f t="shared" si="94"/>
        <v>1.9012317187499999</v>
      </c>
      <c r="BL91" s="61">
        <f t="shared" si="95"/>
        <v>3.125</v>
      </c>
      <c r="BM91" s="61">
        <f t="shared" si="96"/>
        <v>3.125</v>
      </c>
      <c r="BN91" s="61">
        <f t="shared" si="97"/>
        <v>8.787625000000002</v>
      </c>
      <c r="BO91">
        <f t="shared" si="98"/>
        <v>441816.17950000369</v>
      </c>
      <c r="BP91" s="42">
        <f t="shared" si="99"/>
        <v>10545.150000000001</v>
      </c>
      <c r="BQ91" s="42">
        <f>ROUNDUP(AK91,-1)</f>
        <v>580</v>
      </c>
      <c r="BR91" s="42">
        <f>ROUNDUP(AL91,-1)</f>
        <v>90</v>
      </c>
      <c r="BS91" s="42">
        <f>ROUNDUP(AM91,-2)</f>
        <v>800</v>
      </c>
      <c r="BT91">
        <v>500</v>
      </c>
      <c r="BU91">
        <v>250</v>
      </c>
    </row>
    <row r="92" spans="1:74" ht="16.5">
      <c r="A92" s="98" t="s">
        <v>105</v>
      </c>
      <c r="B92" s="51" t="s">
        <v>315</v>
      </c>
      <c r="C92" s="51" t="s">
        <v>316</v>
      </c>
      <c r="D92" s="51" t="s">
        <v>20</v>
      </c>
      <c r="E92" s="51" t="s">
        <v>20</v>
      </c>
      <c r="F92" s="51" t="s">
        <v>282</v>
      </c>
      <c r="G92" s="51">
        <v>375.23521699999998</v>
      </c>
      <c r="H92" s="51" t="s">
        <v>121</v>
      </c>
      <c r="I92" s="51" t="s">
        <v>128</v>
      </c>
      <c r="J92" s="51">
        <v>664689.16</v>
      </c>
      <c r="K92" s="51">
        <f t="shared" si="71"/>
        <v>711750.16</v>
      </c>
      <c r="L92" s="51">
        <f t="shared" si="74"/>
        <v>296.60381972333784</v>
      </c>
      <c r="M92" s="51">
        <v>3200</v>
      </c>
      <c r="N92" s="51">
        <v>720</v>
      </c>
      <c r="O92" s="51">
        <v>3200</v>
      </c>
      <c r="P92" s="51">
        <f t="shared" si="75"/>
        <v>20</v>
      </c>
      <c r="Q92" s="73">
        <v>45191</v>
      </c>
      <c r="R92" s="51">
        <v>45211</v>
      </c>
      <c r="S92" s="70">
        <f>VLOOKUP(B92,[1]Sheet7!$H$2:$M$93,5,0)</f>
        <v>394522.57000000076</v>
      </c>
      <c r="T92" s="51">
        <f t="shared" si="76"/>
        <v>101.31550333846964</v>
      </c>
      <c r="U92" s="70">
        <f>VLOOKUP($B92,[1]Sheet7!$H$2:$M$93,4,0)</f>
        <v>299379.7599999996</v>
      </c>
      <c r="V92" s="70">
        <f>VLOOKUP($B92,[1]Sheet7!$H$2:$M$93,2,0)</f>
        <v>66211.749999999956</v>
      </c>
      <c r="W92" s="70">
        <f>VLOOKUP($B92,[1]Sheet7!$H$2:$M$93,3,0)</f>
        <v>29564.939999999955</v>
      </c>
      <c r="X92" s="71">
        <f>VLOOKUP($B92,[1]Sheet8!$D$2:$E$93,2,0)</f>
        <v>3246</v>
      </c>
      <c r="Y92" s="71">
        <f>VLOOKUP($B92,[1]Sheet8!$P$3:$Q$94,2,0)</f>
        <v>4309</v>
      </c>
      <c r="Z92" s="71">
        <f>VLOOKUP($B92,[1]Sheet8!$J$3:$K$94,2,0)</f>
        <v>680</v>
      </c>
      <c r="AA92" s="71">
        <f>VLOOKUP($B92,[1]Sheet7!$H$2:$M$93,6,0)</f>
        <v>49197</v>
      </c>
      <c r="AB92" s="51">
        <v>2241</v>
      </c>
      <c r="AC92" s="51">
        <v>2607.4034999999999</v>
      </c>
      <c r="AD92" s="51">
        <v>0</v>
      </c>
      <c r="AE92" s="51">
        <f t="shared" si="77"/>
        <v>2868.1438499999999</v>
      </c>
      <c r="AF92" s="51">
        <v>1.1000000000000001</v>
      </c>
      <c r="AG92" s="77">
        <f>VLOOKUP($B92,[2]Sheet1!$E$2:$I$96,4,0)</f>
        <v>3894</v>
      </c>
      <c r="AH92" s="77">
        <f>VLOOKUP($B92,[2]Sheet1!$E$2:$I$96,5,0)</f>
        <v>565</v>
      </c>
      <c r="AI92" s="77">
        <f t="shared" si="108"/>
        <v>27258</v>
      </c>
      <c r="AJ92" s="61">
        <f t="shared" si="108"/>
        <v>3955</v>
      </c>
      <c r="AK92" s="61">
        <f>VLOOKUP(B92,[2]Sheet9!$D$2:$F$94,3,0)</f>
        <v>290</v>
      </c>
      <c r="AL92" s="61">
        <f>VLOOKUP(B92,[2]Sheet9!$J$3:$L$95,3,0)</f>
        <v>65</v>
      </c>
      <c r="AM92" s="61">
        <f>VLOOKUP(B92,[2]Sheet9!$P$3:$R$95,3,0)</f>
        <v>206</v>
      </c>
      <c r="AN92" s="70">
        <f t="shared" si="80"/>
        <v>379677.5369999992</v>
      </c>
      <c r="AO92" s="51">
        <f t="shared" si="81"/>
        <v>47459.6921249999</v>
      </c>
      <c r="AP92" s="71">
        <f t="shared" si="82"/>
        <v>782.57142857142844</v>
      </c>
      <c r="AQ92" s="71">
        <f t="shared" si="83"/>
        <v>225.71428571428578</v>
      </c>
      <c r="AR92" s="71">
        <f t="shared" si="84"/>
        <v>-520.42857142857156</v>
      </c>
      <c r="AS92" s="61" t="str">
        <f t="shared" si="85"/>
        <v>Out of Stock Risk</v>
      </c>
      <c r="AT92" s="51">
        <v>60000</v>
      </c>
      <c r="AU92" s="57">
        <f t="shared" si="106"/>
        <v>18251.824499999999</v>
      </c>
      <c r="AV92" s="57">
        <v>30000</v>
      </c>
      <c r="AW92" s="57">
        <v>30000</v>
      </c>
      <c r="AX92" s="57">
        <f>AI92*1.17</f>
        <v>31891.859999999997</v>
      </c>
      <c r="AY92" s="51">
        <v>6570</v>
      </c>
      <c r="AZ92" s="61">
        <f>IFERROR(VLOOKUP(B92,[3]Sheet2!$E$4:$F$17,2,0),0)</f>
        <v>0</v>
      </c>
      <c r="BA92" s="51">
        <f t="shared" si="107"/>
        <v>2281.4780624999999</v>
      </c>
      <c r="BB92" s="51">
        <f t="shared" si="104"/>
        <v>3750</v>
      </c>
      <c r="BC92" s="51">
        <v>4750</v>
      </c>
      <c r="BD92" s="61">
        <f t="shared" si="103"/>
        <v>3986.4824999999996</v>
      </c>
      <c r="BE92" s="51">
        <f t="shared" si="88"/>
        <v>1095</v>
      </c>
      <c r="BF92" s="51">
        <f t="shared" si="89"/>
        <v>380.24634374999999</v>
      </c>
      <c r="BG92" s="51">
        <f t="shared" si="90"/>
        <v>625</v>
      </c>
      <c r="BH92" s="51">
        <f t="shared" si="91"/>
        <v>791.66666666666663</v>
      </c>
      <c r="BI92" s="61">
        <f t="shared" si="92"/>
        <v>664.41374999999994</v>
      </c>
      <c r="BJ92" s="51">
        <f t="shared" si="93"/>
        <v>5.4749999999999996</v>
      </c>
      <c r="BK92" s="51">
        <f t="shared" si="94"/>
        <v>1.9012317187499999</v>
      </c>
      <c r="BL92" s="51">
        <f t="shared" si="95"/>
        <v>3.125</v>
      </c>
      <c r="BM92" s="51">
        <f t="shared" si="96"/>
        <v>3.9583333333333335</v>
      </c>
      <c r="BN92" s="61">
        <f t="shared" si="97"/>
        <v>3.3220687499999997</v>
      </c>
      <c r="BO92">
        <f t="shared" si="98"/>
        <v>466275.14950000076</v>
      </c>
      <c r="BP92" s="42">
        <f t="shared" si="99"/>
        <v>3986.4824999999996</v>
      </c>
      <c r="BQ92" s="42">
        <f>ROUNDUP(AK92,-1)</f>
        <v>290</v>
      </c>
      <c r="BR92" s="42">
        <f>ROUNDUP(AL92,-1)</f>
        <v>70</v>
      </c>
      <c r="BS92" s="42">
        <f>ROUNDUP(AM92,-1)-50</f>
        <v>160</v>
      </c>
      <c r="BT92">
        <f>VLOOKUP($B92,'[4]Food Monitor'!$A$4:$AD$95,16,0)</f>
        <v>500</v>
      </c>
      <c r="BU92">
        <f>VLOOKUP($B92,'[4]Food Monitor'!$A$4:$AD$95,27,0)</f>
        <v>210</v>
      </c>
    </row>
    <row r="93" spans="1:74" ht="16.5">
      <c r="A93" s="98" t="s">
        <v>105</v>
      </c>
      <c r="B93" s="51" t="s">
        <v>317</v>
      </c>
      <c r="C93" s="51" t="s">
        <v>318</v>
      </c>
      <c r="D93" s="51" t="s">
        <v>11</v>
      </c>
      <c r="E93" s="51" t="s">
        <v>11</v>
      </c>
      <c r="F93" s="51" t="s">
        <v>17</v>
      </c>
      <c r="G93" s="51">
        <v>325</v>
      </c>
      <c r="H93" s="51" t="s">
        <v>109</v>
      </c>
      <c r="I93" s="51" t="s">
        <v>39</v>
      </c>
      <c r="J93" s="51">
        <v>306212.06000000401</v>
      </c>
      <c r="K93" s="51">
        <f t="shared" si="71"/>
        <v>376751.06000000401</v>
      </c>
      <c r="L93" s="51">
        <f t="shared" si="74"/>
        <v>91.161673117000305</v>
      </c>
      <c r="M93" s="51" t="s">
        <v>299</v>
      </c>
      <c r="N93" s="51" t="s">
        <v>299</v>
      </c>
      <c r="O93" s="51" t="s">
        <v>299</v>
      </c>
      <c r="P93" s="51">
        <f t="shared" si="75"/>
        <v>27</v>
      </c>
      <c r="Q93" s="73">
        <v>45191</v>
      </c>
      <c r="R93" s="51">
        <v>45218</v>
      </c>
      <c r="S93" s="70">
        <f>VLOOKUP(B93,[1]Sheet7!$H$2:$M$93,5,0)</f>
        <v>386641.66000000364</v>
      </c>
      <c r="T93" s="51" t="e">
        <f t="shared" si="76"/>
        <v>#N/A</v>
      </c>
      <c r="U93" s="70">
        <f>VLOOKUP($B93,[1]Sheet7!$H$2:$M$93,4,0)</f>
        <v>0</v>
      </c>
      <c r="V93" s="70">
        <f>VLOOKUP($B93,[1]Sheet7!$H$2:$M$93,2,0)</f>
        <v>0</v>
      </c>
      <c r="W93" s="70">
        <f>VLOOKUP($B93,[1]Sheet7!$H$2:$M$93,3,0)</f>
        <v>386641.66000000364</v>
      </c>
      <c r="X93" s="71">
        <f>VLOOKUP($B93,[1]Sheet8!$D$2:$E$93,2,0)</f>
        <v>1583</v>
      </c>
      <c r="Y93" s="71">
        <f>VLOOKUP($B93,[1]Sheet8!$P$3:$Q$94,2,0)</f>
        <v>4872</v>
      </c>
      <c r="Z93" s="71">
        <f>VLOOKUP($B93,[1]Sheet8!$J$3:$K$94,2,0)</f>
        <v>480</v>
      </c>
      <c r="AA93" s="71">
        <f>VLOOKUP($B93,[1]Sheet7!$H$2:$M$93,6,0)</f>
        <v>46106</v>
      </c>
      <c r="AB93" s="51">
        <v>3359</v>
      </c>
      <c r="AC93" s="51">
        <v>3908.1965</v>
      </c>
      <c r="AD93" s="51">
        <v>0</v>
      </c>
      <c r="AE93" s="51">
        <f t="shared" si="77"/>
        <v>4299.0161500000004</v>
      </c>
      <c r="AF93" s="51">
        <v>1.1000000000000001</v>
      </c>
      <c r="AG93" s="77" t="e">
        <f>VLOOKUP($B93,[2]Sheet1!$E$2:$I$96,4,0)</f>
        <v>#N/A</v>
      </c>
      <c r="AH93" s="77" t="e">
        <f>VLOOKUP($B93,[2]Sheet1!$E$2:$I$96,5,0)</f>
        <v>#N/A</v>
      </c>
      <c r="AI93" s="77" t="e">
        <f t="shared" si="108"/>
        <v>#N/A</v>
      </c>
      <c r="AJ93" s="61" t="e">
        <f t="shared" si="108"/>
        <v>#N/A</v>
      </c>
      <c r="AK93" s="61" t="e">
        <f>VLOOKUP(B93,[2]Sheet9!$D$2:$F$94,3,0)</f>
        <v>#N/A</v>
      </c>
      <c r="AL93" s="61" t="e">
        <f>VLOOKUP(B93,[2]Sheet9!$J$3:$L$95,3,0)</f>
        <v>#N/A</v>
      </c>
      <c r="AM93" s="61" t="e">
        <f>VLOOKUP(B93,[2]Sheet9!$P$3:$R$95,3,0)</f>
        <v>#N/A</v>
      </c>
      <c r="AN93" s="70">
        <f t="shared" si="80"/>
        <v>83714.653000000399</v>
      </c>
      <c r="AO93" s="51">
        <f t="shared" si="81"/>
        <v>10464.33162500005</v>
      </c>
      <c r="AP93" s="71" t="e">
        <f t="shared" si="82"/>
        <v>#VALUE!</v>
      </c>
      <c r="AQ93" s="71" t="e">
        <f t="shared" si="83"/>
        <v>#VALUE!</v>
      </c>
      <c r="AR93" s="71" t="e">
        <f t="shared" si="84"/>
        <v>#VALUE!</v>
      </c>
      <c r="AS93" s="61" t="str">
        <f t="shared" si="85"/>
        <v>Out of Stock Risk</v>
      </c>
      <c r="AT93" s="51">
        <v>0</v>
      </c>
      <c r="AU93" s="57">
        <f t="shared" si="106"/>
        <v>27357.375500000002</v>
      </c>
      <c r="AV93" s="51">
        <v>320000</v>
      </c>
      <c r="AW93" s="51">
        <v>320000</v>
      </c>
      <c r="AX93" s="57">
        <f>AC93*7</f>
        <v>27357.375500000002</v>
      </c>
      <c r="AY93" s="51">
        <f>AT93/8</f>
        <v>0</v>
      </c>
      <c r="AZ93" s="61">
        <f>IFERROR(VLOOKUP(B93,[3]Sheet2!$E$4:$F$17,2,0),0)</f>
        <v>0</v>
      </c>
      <c r="BA93" s="51">
        <f t="shared" si="107"/>
        <v>3419.6719375000002</v>
      </c>
      <c r="BB93" s="51">
        <f t="shared" si="104"/>
        <v>40000</v>
      </c>
      <c r="BC93" s="51">
        <f>AW93/8</f>
        <v>40000</v>
      </c>
      <c r="BD93" s="61">
        <f t="shared" si="103"/>
        <v>3419.6719375000002</v>
      </c>
      <c r="BE93" s="51">
        <f t="shared" si="88"/>
        <v>0</v>
      </c>
      <c r="BF93" s="51">
        <f t="shared" si="89"/>
        <v>569.94532291666667</v>
      </c>
      <c r="BG93" s="51">
        <f t="shared" si="90"/>
        <v>6666.666666666667</v>
      </c>
      <c r="BH93" s="51">
        <f t="shared" si="91"/>
        <v>6666.666666666667</v>
      </c>
      <c r="BI93" s="61">
        <f t="shared" si="92"/>
        <v>569.94532291666667</v>
      </c>
      <c r="BJ93" s="51">
        <f t="shared" si="93"/>
        <v>0</v>
      </c>
      <c r="BK93" s="51">
        <f t="shared" si="94"/>
        <v>2.8497266145833335</v>
      </c>
      <c r="BL93" s="51">
        <f t="shared" si="95"/>
        <v>33.333333333333336</v>
      </c>
      <c r="BM93" s="51">
        <f t="shared" si="96"/>
        <v>33.333333333333336</v>
      </c>
      <c r="BN93" s="61">
        <f t="shared" si="97"/>
        <v>2.8497266145833335</v>
      </c>
      <c r="BO93">
        <f t="shared" si="98"/>
        <v>933879.51600000355</v>
      </c>
      <c r="BP93" s="42">
        <f t="shared" si="99"/>
        <v>3419.6719375000002</v>
      </c>
      <c r="BQ93" s="42" t="e">
        <f>ROUNDUP(AK93,-2)</f>
        <v>#N/A</v>
      </c>
      <c r="BR93" s="42" t="e">
        <f>ROUNDUP(AL93,-1)</f>
        <v>#N/A</v>
      </c>
      <c r="BS93" s="42" t="e">
        <f>ROUNDUP(AM93,-2)</f>
        <v>#N/A</v>
      </c>
      <c r="BT93">
        <f>VLOOKUP($B93,'[4]Food Monitor'!$A$4:$AD$95,16,0)</f>
        <v>0</v>
      </c>
      <c r="BU93">
        <f>VLOOKUP($B93,'[4]Food Monitor'!$A$4:$AD$95,27,0)</f>
        <v>0</v>
      </c>
    </row>
    <row r="94" spans="1:74">
      <c r="AB94" s="86"/>
      <c r="AC94" s="86">
        <f>SUM(AC4:AC93)</f>
        <v>462998.72461449885</v>
      </c>
      <c r="AD94" s="86"/>
      <c r="AE94" s="86"/>
      <c r="BO94">
        <f>SUM(BO4:BO93)</f>
        <v>40200773.371148475</v>
      </c>
    </row>
    <row r="96" spans="1:74">
      <c r="AC96">
        <v>14065866.481292101</v>
      </c>
      <c r="AZ96">
        <v>38214</v>
      </c>
    </row>
    <row r="97" spans="28:59">
      <c r="AB97">
        <f>AB92*8*7</f>
        <v>125496</v>
      </c>
      <c r="AC97">
        <f>AC96*7.12</f>
        <v>100148969.34679976</v>
      </c>
      <c r="AZ97">
        <f>AZ96/6</f>
        <v>6369</v>
      </c>
      <c r="BF97" s="44">
        <f>BG97-AZ97</f>
        <v>57458</v>
      </c>
      <c r="BG97" s="44">
        <v>63827</v>
      </c>
    </row>
    <row r="98" spans="28:59">
      <c r="AB98">
        <v>74240000</v>
      </c>
      <c r="BF98" s="44">
        <f>BF97/5</f>
        <v>11491.6</v>
      </c>
    </row>
    <row r="100" spans="28:59">
      <c r="AE100">
        <f>124000000/7.12</f>
        <v>17415730.337078653</v>
      </c>
    </row>
  </sheetData>
  <autoFilter ref="A2:BU94" xr:uid="{00000000-0001-0000-0400-000000000000}">
    <sortState xmlns:xlrd2="http://schemas.microsoft.com/office/spreadsheetml/2017/richdata2" ref="A3:BU94">
      <sortCondition ref="B2:B94"/>
    </sortState>
  </autoFilter>
  <mergeCells count="10">
    <mergeCell ref="A1:H1"/>
    <mergeCell ref="J1:L1"/>
    <mergeCell ref="P1:R1"/>
    <mergeCell ref="S1:AA1"/>
    <mergeCell ref="AB1:AM1"/>
    <mergeCell ref="AN1:AS1"/>
    <mergeCell ref="AT1:AW1"/>
    <mergeCell ref="AY1:BC1"/>
    <mergeCell ref="BE1:BH1"/>
    <mergeCell ref="BJ1:BM1"/>
  </mergeCells>
  <phoneticPr fontId="12" type="noConversion"/>
  <conditionalFormatting sqref="B1:B60">
    <cfRule type="duplicateValues" dxfId="75" priority="283"/>
  </conditionalFormatting>
  <conditionalFormatting sqref="B61">
    <cfRule type="duplicateValues" dxfId="74" priority="280"/>
  </conditionalFormatting>
  <conditionalFormatting sqref="B62">
    <cfRule type="duplicateValues" dxfId="73" priority="279"/>
  </conditionalFormatting>
  <conditionalFormatting sqref="B63">
    <cfRule type="duplicateValues" dxfId="72" priority="278"/>
  </conditionalFormatting>
  <conditionalFormatting sqref="B64">
    <cfRule type="duplicateValues" dxfId="71" priority="277"/>
  </conditionalFormatting>
  <conditionalFormatting sqref="B65">
    <cfRule type="duplicateValues" dxfId="70" priority="276"/>
  </conditionalFormatting>
  <conditionalFormatting sqref="B66">
    <cfRule type="duplicateValues" dxfId="69" priority="275"/>
  </conditionalFormatting>
  <conditionalFormatting sqref="B67">
    <cfRule type="duplicateValues" dxfId="68" priority="274"/>
  </conditionalFormatting>
  <conditionalFormatting sqref="B68">
    <cfRule type="duplicateValues" dxfId="67" priority="273"/>
  </conditionalFormatting>
  <conditionalFormatting sqref="B69">
    <cfRule type="duplicateValues" dxfId="66" priority="272"/>
  </conditionalFormatting>
  <conditionalFormatting sqref="B70">
    <cfRule type="duplicateValues" dxfId="65" priority="271"/>
  </conditionalFormatting>
  <conditionalFormatting sqref="B71">
    <cfRule type="duplicateValues" dxfId="64" priority="270"/>
  </conditionalFormatting>
  <conditionalFormatting sqref="B72">
    <cfRule type="duplicateValues" dxfId="63" priority="269"/>
  </conditionalFormatting>
  <conditionalFormatting sqref="B73">
    <cfRule type="duplicateValues" dxfId="62" priority="268"/>
  </conditionalFormatting>
  <conditionalFormatting sqref="B74">
    <cfRule type="duplicateValues" dxfId="61" priority="172"/>
  </conditionalFormatting>
  <conditionalFormatting sqref="B75">
    <cfRule type="duplicateValues" dxfId="60" priority="266"/>
  </conditionalFormatting>
  <conditionalFormatting sqref="B76">
    <cfRule type="duplicateValues" dxfId="59" priority="265"/>
  </conditionalFormatting>
  <conditionalFormatting sqref="B77">
    <cfRule type="duplicateValues" dxfId="58" priority="264"/>
  </conditionalFormatting>
  <conditionalFormatting sqref="B78">
    <cfRule type="duplicateValues" dxfId="57" priority="166"/>
  </conditionalFormatting>
  <conditionalFormatting sqref="B79">
    <cfRule type="duplicateValues" dxfId="56" priority="263"/>
  </conditionalFormatting>
  <conditionalFormatting sqref="B80">
    <cfRule type="duplicateValues" dxfId="55" priority="92"/>
  </conditionalFormatting>
  <conditionalFormatting sqref="B81">
    <cfRule type="duplicateValues" dxfId="54" priority="91"/>
  </conditionalFormatting>
  <conditionalFormatting sqref="B82">
    <cfRule type="duplicateValues" dxfId="53" priority="90"/>
  </conditionalFormatting>
  <conditionalFormatting sqref="B83">
    <cfRule type="duplicateValues" dxfId="52" priority="89"/>
  </conditionalFormatting>
  <conditionalFormatting sqref="B83:B93">
    <cfRule type="duplicateValues" dxfId="51" priority="88"/>
  </conditionalFormatting>
  <conditionalFormatting sqref="B85">
    <cfRule type="duplicateValues" dxfId="50" priority="87"/>
  </conditionalFormatting>
  <conditionalFormatting sqref="B86">
    <cfRule type="duplicateValues" dxfId="49" priority="86"/>
  </conditionalFormatting>
  <conditionalFormatting sqref="B87">
    <cfRule type="duplicateValues" dxfId="48" priority="85"/>
  </conditionalFormatting>
  <conditionalFormatting sqref="B88">
    <cfRule type="duplicateValues" dxfId="47" priority="84"/>
  </conditionalFormatting>
  <conditionalFormatting sqref="B89">
    <cfRule type="duplicateValues" dxfId="46" priority="83"/>
  </conditionalFormatting>
  <conditionalFormatting sqref="B90">
    <cfRule type="duplicateValues" dxfId="45" priority="82"/>
  </conditionalFormatting>
  <conditionalFormatting sqref="B91">
    <cfRule type="duplicateValues" dxfId="44" priority="79"/>
  </conditionalFormatting>
  <conditionalFormatting sqref="AN1">
    <cfRule type="cellIs" dxfId="43" priority="253" operator="equal">
      <formula>"正常状态"</formula>
    </cfRule>
    <cfRule type="cellIs" dxfId="42" priority="254" operator="equal">
      <formula>"缺货风险"</formula>
    </cfRule>
    <cfRule type="cellIs" dxfId="41" priority="255" operator="equal">
      <formula>"爆仓风险"</formula>
    </cfRule>
  </conditionalFormatting>
  <conditionalFormatting sqref="AN3:AN9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{3F6302BE-5EF6-4352-BA2B-4BF4E5370002}</x14:id>
        </ext>
      </extLst>
    </cfRule>
  </conditionalFormatting>
  <conditionalFormatting sqref="AN2:AR2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{722D41F3-890B-4B23-B0D8-464D805AAE22}</x14:id>
        </ext>
      </extLst>
    </cfRule>
  </conditionalFormatting>
  <conditionalFormatting sqref="AP3:AR93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{03341FFA-EBE9-4B17-B408-94331807A627}</x14:id>
        </ext>
      </extLst>
    </cfRule>
  </conditionalFormatting>
  <conditionalFormatting sqref="AS2">
    <cfRule type="cellIs" dxfId="40" priority="256" operator="equal">
      <formula>"正常状态"</formula>
    </cfRule>
    <cfRule type="cellIs" dxfId="39" priority="258" operator="equal">
      <formula>"爆仓风险"</formula>
    </cfRule>
    <cfRule type="cellIs" dxfId="38" priority="257" operator="equal">
      <formula>"缺货风险"</formula>
    </cfRule>
  </conditionalFormatting>
  <conditionalFormatting sqref="AS3:AS93">
    <cfRule type="cellIs" dxfId="37" priority="68" operator="equal">
      <formula>"Full of Stock Risk"</formula>
    </cfRule>
    <cfRule type="cellIs" dxfId="36" priority="54" operator="equal">
      <formula>"Out of Stock Risk"</formula>
    </cfRule>
    <cfRule type="cellIs" dxfId="35" priority="40" operator="equal">
      <formula>"Normal"</formula>
    </cfRule>
  </conditionalFormatting>
  <conditionalFormatting sqref="AT2:BI2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{033B70CD-741A-4A13-9CA0-271B87C4E9B0}</x14:id>
        </ext>
      </extLst>
    </cfRule>
  </conditionalFormatting>
  <conditionalFormatting sqref="AV93">
    <cfRule type="duplicateValues" dxfId="34" priority="1"/>
  </conditionalFormatting>
  <conditionalFormatting sqref="BE92:BH93 BA92:BC93 B92:P93 R92:R93 T92:T93 AB92:AF93 AO92:AO93 AT92:AT93 AW93 AY92:AY93 BJ92:BM93">
    <cfRule type="duplicateValues" dxfId="33" priority="36"/>
  </conditionalFormatting>
  <conditionalFormatting sqref="BJ2:BO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{61E612D3-04F8-40F3-9664-B8CE34289A3E}</x14:id>
        </ext>
      </extLst>
    </cfRule>
  </conditionalFormatting>
  <conditionalFormatting sqref="BP2:BU2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{105C6913-8136-491D-8AD9-0B1FE73BA6D5}</x14:id>
        </ext>
      </extLst>
    </cfRule>
  </conditionalFormatting>
  <pageMargins left="0.7" right="0.7" top="0.75" bottom="0.75" header="0.3" footer="0.3"/>
  <pageSetup paperSize="9" orientation="portrait"/>
  <customProperties>
    <customPr name="_pios_id" r:id="rId1"/>
  </customPropertie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6302BE-5EF6-4352-BA2B-4BF4E5370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AN3:AN93</xm:sqref>
        </x14:conditionalFormatting>
        <x14:conditionalFormatting xmlns:xm="http://schemas.microsoft.com/office/excel/2006/main">
          <x14:cfRule type="dataBar" id="{722D41F3-890B-4B23-B0D8-464D805AAE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AN2:AR2</xm:sqref>
        </x14:conditionalFormatting>
        <x14:conditionalFormatting xmlns:xm="http://schemas.microsoft.com/office/excel/2006/main">
          <x14:cfRule type="dataBar" id="{03341FFA-EBE9-4B17-B408-94331807A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AP3:AR93</xm:sqref>
        </x14:conditionalFormatting>
        <x14:conditionalFormatting xmlns:xm="http://schemas.microsoft.com/office/excel/2006/main">
          <x14:cfRule type="dataBar" id="{033B70CD-741A-4A13-9CA0-271B87C4E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AT2:BI2</xm:sqref>
        </x14:conditionalFormatting>
        <x14:conditionalFormatting xmlns:xm="http://schemas.microsoft.com/office/excel/2006/main">
          <x14:cfRule type="dataBar" id="{61E612D3-04F8-40F3-9664-B8CE34289A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BJ2:BO2</xm:sqref>
        </x14:conditionalFormatting>
        <x14:conditionalFormatting xmlns:xm="http://schemas.microsoft.com/office/excel/2006/main">
          <x14:cfRule type="dataBar" id="{105C6913-8136-491D-8AD9-0B1FE73BA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BP2:BU2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6"/>
  <sheetViews>
    <sheetView topLeftCell="A77" zoomScale="70" zoomScaleNormal="70" workbookViewId="0">
      <selection activeCell="L99" sqref="L99"/>
    </sheetView>
  </sheetViews>
  <sheetFormatPr defaultColWidth="9" defaultRowHeight="14.25"/>
  <cols>
    <col min="1" max="1" width="11.875" customWidth="1"/>
    <col min="3" max="3" width="22.125" customWidth="1"/>
    <col min="4" max="8" width="9" customWidth="1"/>
    <col min="9" max="9" width="11.875" hidden="1" customWidth="1"/>
    <col min="10" max="10" width="19.5" customWidth="1"/>
    <col min="11" max="14" width="16.375" customWidth="1"/>
    <col min="15" max="15" width="17.125" customWidth="1"/>
    <col min="16" max="16" width="18.125" customWidth="1"/>
    <col min="17" max="17" width="18.875" customWidth="1"/>
    <col min="18" max="18" width="11.5" style="45"/>
  </cols>
  <sheetData>
    <row r="1" spans="1:18" ht="24" customHeight="1">
      <c r="A1" s="108" t="s">
        <v>44</v>
      </c>
      <c r="B1" s="108"/>
      <c r="C1" s="108"/>
      <c r="D1" s="108"/>
      <c r="E1" s="108"/>
      <c r="F1" s="108"/>
      <c r="G1" s="108"/>
      <c r="H1" s="108"/>
      <c r="I1" s="46"/>
      <c r="J1" s="46"/>
      <c r="K1" s="114" t="s">
        <v>319</v>
      </c>
      <c r="L1" s="114"/>
      <c r="M1" s="114"/>
      <c r="N1" s="114"/>
      <c r="O1" s="114"/>
      <c r="P1" s="114"/>
      <c r="Q1" s="114"/>
    </row>
    <row r="2" spans="1:18" ht="57" customHeight="1">
      <c r="A2" s="47" t="s">
        <v>53</v>
      </c>
      <c r="B2" s="48" t="s">
        <v>54</v>
      </c>
      <c r="C2" s="48" t="s">
        <v>55</v>
      </c>
      <c r="D2" s="48" t="s">
        <v>56</v>
      </c>
      <c r="E2" s="48" t="s">
        <v>8</v>
      </c>
      <c r="F2" s="48" t="s">
        <v>57</v>
      </c>
      <c r="G2" s="49" t="s">
        <v>58</v>
      </c>
      <c r="H2" s="49" t="s">
        <v>59</v>
      </c>
      <c r="I2" s="49" t="s">
        <v>26</v>
      </c>
      <c r="J2" s="49" t="s">
        <v>320</v>
      </c>
      <c r="K2" s="56" t="s">
        <v>321</v>
      </c>
      <c r="L2" s="56" t="s">
        <v>78</v>
      </c>
      <c r="M2" s="56"/>
      <c r="N2" s="56" t="s">
        <v>79</v>
      </c>
      <c r="O2" s="56" t="s">
        <v>83</v>
      </c>
      <c r="P2" s="56" t="s">
        <v>84</v>
      </c>
      <c r="Q2" s="56" t="s">
        <v>322</v>
      </c>
      <c r="R2" s="45" t="s">
        <v>323</v>
      </c>
    </row>
    <row r="3" spans="1:18" ht="16.5">
      <c r="A3" s="50" t="s">
        <v>105</v>
      </c>
      <c r="B3" s="51" t="s">
        <v>226</v>
      </c>
      <c r="C3" s="52" t="s">
        <v>227</v>
      </c>
      <c r="D3" s="50" t="s">
        <v>11</v>
      </c>
      <c r="E3" s="53" t="s">
        <v>11</v>
      </c>
      <c r="F3" s="53" t="s">
        <v>228</v>
      </c>
      <c r="G3" s="54">
        <v>278</v>
      </c>
      <c r="H3" s="55" t="s">
        <v>109</v>
      </c>
      <c r="I3" s="55" t="s">
        <v>113</v>
      </c>
      <c r="J3" s="55" t="s">
        <v>324</v>
      </c>
      <c r="K3" s="57">
        <v>2898.1199999999899</v>
      </c>
      <c r="L3" s="57">
        <v>3689.3067599999899</v>
      </c>
      <c r="M3" s="57">
        <f>L3*0.95</f>
        <v>3504.8414219999904</v>
      </c>
      <c r="N3" s="57">
        <v>3477.7439999999901</v>
      </c>
      <c r="O3" s="58">
        <v>2898.1199999999899</v>
      </c>
      <c r="P3" s="58">
        <v>345.142857142857</v>
      </c>
      <c r="Q3" s="55">
        <f t="shared" ref="Q3:Q66" si="0">P3*7</f>
        <v>2415.9999999999991</v>
      </c>
      <c r="R3" s="45">
        <v>45132</v>
      </c>
    </row>
    <row r="4" spans="1:18" ht="16.5">
      <c r="A4" s="50" t="s">
        <v>105</v>
      </c>
      <c r="B4" s="51" t="s">
        <v>222</v>
      </c>
      <c r="C4" s="52" t="s">
        <v>223</v>
      </c>
      <c r="D4" s="50" t="s">
        <v>11</v>
      </c>
      <c r="E4" s="53" t="s">
        <v>11</v>
      </c>
      <c r="F4" s="53" t="s">
        <v>177</v>
      </c>
      <c r="G4" s="54">
        <v>333</v>
      </c>
      <c r="H4" s="55" t="s">
        <v>109</v>
      </c>
      <c r="I4" s="55" t="s">
        <v>113</v>
      </c>
      <c r="J4" s="55" t="s">
        <v>324</v>
      </c>
      <c r="K4" s="57">
        <v>2782.2178571428499</v>
      </c>
      <c r="L4" s="57">
        <v>3541.7633321428498</v>
      </c>
      <c r="M4" s="57">
        <f t="shared" ref="M4:M35" si="1">L4*0.95</f>
        <v>3364.675165535707</v>
      </c>
      <c r="N4" s="57">
        <v>3338.6614285714199</v>
      </c>
      <c r="O4" s="58">
        <v>2782.2178571428499</v>
      </c>
      <c r="P4" s="58">
        <v>324.642857142857</v>
      </c>
      <c r="Q4" s="55">
        <f t="shared" si="0"/>
        <v>2272.4999999999991</v>
      </c>
      <c r="R4" s="45">
        <v>45132</v>
      </c>
    </row>
    <row r="5" spans="1:18" ht="16.5">
      <c r="A5" s="50" t="s">
        <v>105</v>
      </c>
      <c r="B5" s="51" t="s">
        <v>234</v>
      </c>
      <c r="C5" s="52" t="s">
        <v>235</v>
      </c>
      <c r="D5" s="50" t="s">
        <v>231</v>
      </c>
      <c r="E5" s="53" t="s">
        <v>18</v>
      </c>
      <c r="F5" s="53" t="s">
        <v>18</v>
      </c>
      <c r="G5" s="54">
        <v>338.07401700000003</v>
      </c>
      <c r="H5" s="55" t="s">
        <v>121</v>
      </c>
      <c r="I5" s="55" t="s">
        <v>110</v>
      </c>
      <c r="J5" s="55" t="s">
        <v>324</v>
      </c>
      <c r="K5" s="57">
        <v>2424.3085714285598</v>
      </c>
      <c r="L5" s="57">
        <v>3086.1448114285599</v>
      </c>
      <c r="M5" s="57">
        <f t="shared" si="1"/>
        <v>2931.8375708571316</v>
      </c>
      <c r="N5" s="57">
        <v>2909.17028571428</v>
      </c>
      <c r="O5" s="58">
        <v>2424.3085714285598</v>
      </c>
      <c r="P5" s="58">
        <v>269.142857142857</v>
      </c>
      <c r="Q5" s="55">
        <f t="shared" si="0"/>
        <v>1883.9999999999991</v>
      </c>
      <c r="R5" s="45">
        <v>45132</v>
      </c>
    </row>
    <row r="6" spans="1:18" ht="16.5">
      <c r="A6" s="50" t="s">
        <v>105</v>
      </c>
      <c r="B6" s="51" t="s">
        <v>246</v>
      </c>
      <c r="C6" s="52" t="s">
        <v>247</v>
      </c>
      <c r="D6" s="50" t="s">
        <v>20</v>
      </c>
      <c r="E6" s="53" t="s">
        <v>19</v>
      </c>
      <c r="F6" s="53" t="s">
        <v>19</v>
      </c>
      <c r="G6" s="54">
        <v>337</v>
      </c>
      <c r="H6" s="55" t="s">
        <v>116</v>
      </c>
      <c r="I6" s="55" t="s">
        <v>128</v>
      </c>
      <c r="J6" s="55" t="s">
        <v>325</v>
      </c>
      <c r="K6" s="57">
        <v>6935.95285714281</v>
      </c>
      <c r="L6" s="57">
        <v>8829.4679871427998</v>
      </c>
      <c r="M6" s="57">
        <f t="shared" si="1"/>
        <v>8387.994587785659</v>
      </c>
      <c r="N6" s="57">
        <v>8323.1434285713694</v>
      </c>
      <c r="O6" s="58">
        <v>6935.95285714281</v>
      </c>
      <c r="P6" s="58">
        <v>794</v>
      </c>
      <c r="Q6" s="55">
        <f t="shared" si="0"/>
        <v>5558</v>
      </c>
      <c r="R6" s="45">
        <v>45132</v>
      </c>
    </row>
    <row r="7" spans="1:18" ht="16.5">
      <c r="A7" s="50" t="s">
        <v>105</v>
      </c>
      <c r="B7" s="51" t="s">
        <v>244</v>
      </c>
      <c r="C7" s="52" t="s">
        <v>245</v>
      </c>
      <c r="D7" s="50" t="s">
        <v>231</v>
      </c>
      <c r="E7" s="53" t="s">
        <v>18</v>
      </c>
      <c r="F7" s="53" t="s">
        <v>18</v>
      </c>
      <c r="G7" s="54">
        <v>279</v>
      </c>
      <c r="H7" s="55" t="s">
        <v>109</v>
      </c>
      <c r="I7" s="55" t="s">
        <v>110</v>
      </c>
      <c r="J7" s="55" t="s">
        <v>324</v>
      </c>
      <c r="K7" s="57">
        <v>4131.9671428571201</v>
      </c>
      <c r="L7" s="57">
        <v>5259.9941728571202</v>
      </c>
      <c r="M7" s="57">
        <f t="shared" si="1"/>
        <v>4996.9944642142636</v>
      </c>
      <c r="N7" s="57">
        <v>4958.3605714285504</v>
      </c>
      <c r="O7" s="58">
        <v>4131.9671428571201</v>
      </c>
      <c r="P7" s="58">
        <v>464</v>
      </c>
      <c r="Q7" s="55">
        <f t="shared" si="0"/>
        <v>3248</v>
      </c>
      <c r="R7" s="45">
        <v>45132</v>
      </c>
    </row>
    <row r="8" spans="1:18" ht="16.5">
      <c r="A8" s="50" t="s">
        <v>105</v>
      </c>
      <c r="B8" s="51" t="s">
        <v>175</v>
      </c>
      <c r="C8" s="52" t="s">
        <v>176</v>
      </c>
      <c r="D8" s="50" t="s">
        <v>11</v>
      </c>
      <c r="E8" s="53" t="s">
        <v>11</v>
      </c>
      <c r="F8" s="53" t="s">
        <v>177</v>
      </c>
      <c r="G8" s="54">
        <v>280.75</v>
      </c>
      <c r="H8" s="55" t="s">
        <v>116</v>
      </c>
      <c r="I8" s="55" t="s">
        <v>113</v>
      </c>
      <c r="J8" s="55" t="s">
        <v>324</v>
      </c>
      <c r="K8" s="57">
        <v>4912.17928571426</v>
      </c>
      <c r="L8" s="57">
        <v>6253.2042307142501</v>
      </c>
      <c r="M8" s="57">
        <f t="shared" si="1"/>
        <v>5940.5440191785374</v>
      </c>
      <c r="N8" s="57">
        <v>5894.6151428571102</v>
      </c>
      <c r="O8" s="58">
        <v>4912.17928571426</v>
      </c>
      <c r="P8" s="58">
        <v>560.642857142857</v>
      </c>
      <c r="Q8" s="55">
        <f t="shared" si="0"/>
        <v>3924.4999999999991</v>
      </c>
      <c r="R8" s="45">
        <v>45132</v>
      </c>
    </row>
    <row r="9" spans="1:18" ht="16.5">
      <c r="A9" s="50" t="s">
        <v>105</v>
      </c>
      <c r="B9" s="51" t="s">
        <v>204</v>
      </c>
      <c r="C9" s="52" t="s">
        <v>205</v>
      </c>
      <c r="D9" s="50" t="s">
        <v>11</v>
      </c>
      <c r="E9" s="53" t="s">
        <v>11</v>
      </c>
      <c r="F9" s="53" t="s">
        <v>206</v>
      </c>
      <c r="G9" s="54">
        <v>278</v>
      </c>
      <c r="H9" s="55" t="s">
        <v>121</v>
      </c>
      <c r="I9" s="55" t="s">
        <v>110</v>
      </c>
      <c r="J9" s="55" t="s">
        <v>324</v>
      </c>
      <c r="K9" s="57">
        <v>1975.8535714285699</v>
      </c>
      <c r="L9" s="57">
        <v>2515.2615964285701</v>
      </c>
      <c r="M9" s="57">
        <f t="shared" si="1"/>
        <v>2389.4985166071415</v>
      </c>
      <c r="N9" s="57">
        <v>2371.0242857142798</v>
      </c>
      <c r="O9" s="58">
        <v>1975.8535714285699</v>
      </c>
      <c r="P9" s="58">
        <v>232.5</v>
      </c>
      <c r="Q9" s="55">
        <f t="shared" si="0"/>
        <v>1627.5</v>
      </c>
      <c r="R9" s="45">
        <v>45132</v>
      </c>
    </row>
    <row r="10" spans="1:18" ht="16.5">
      <c r="A10" s="50" t="s">
        <v>105</v>
      </c>
      <c r="B10" s="50" t="s">
        <v>111</v>
      </c>
      <c r="C10" s="52" t="s">
        <v>112</v>
      </c>
      <c r="D10" s="50" t="s">
        <v>20</v>
      </c>
      <c r="E10" s="53" t="s">
        <v>20</v>
      </c>
      <c r="F10" s="53" t="s">
        <v>108</v>
      </c>
      <c r="G10" s="54">
        <v>353.03155199999901</v>
      </c>
      <c r="H10" s="55" t="s">
        <v>109</v>
      </c>
      <c r="I10" s="55" t="s">
        <v>110</v>
      </c>
      <c r="J10" s="55" t="s">
        <v>325</v>
      </c>
      <c r="K10" s="57">
        <v>2699.5085714285701</v>
      </c>
      <c r="L10" s="57">
        <v>3436.47441142856</v>
      </c>
      <c r="M10" s="57">
        <f t="shared" si="1"/>
        <v>3264.6506908571318</v>
      </c>
      <c r="N10" s="57">
        <v>3239.4102857142798</v>
      </c>
      <c r="O10" s="58">
        <v>2699.5085714285701</v>
      </c>
      <c r="P10" s="58">
        <v>331.28571428571399</v>
      </c>
      <c r="Q10" s="55">
        <f t="shared" si="0"/>
        <v>2318.9999999999982</v>
      </c>
      <c r="R10" s="45">
        <v>45132</v>
      </c>
    </row>
    <row r="11" spans="1:18" ht="16.5">
      <c r="A11" s="50" t="s">
        <v>105</v>
      </c>
      <c r="B11" s="51" t="s">
        <v>256</v>
      </c>
      <c r="C11" s="52" t="s">
        <v>257</v>
      </c>
      <c r="D11" s="50" t="s">
        <v>231</v>
      </c>
      <c r="E11" s="53" t="s">
        <v>18</v>
      </c>
      <c r="F11" s="53" t="s">
        <v>18</v>
      </c>
      <c r="G11" s="54">
        <v>336.68047200000001</v>
      </c>
      <c r="H11" s="55" t="s">
        <v>109</v>
      </c>
      <c r="I11" s="55" t="s">
        <v>110</v>
      </c>
      <c r="J11" s="55" t="s">
        <v>324</v>
      </c>
      <c r="K11" s="57">
        <v>2560.8542857142802</v>
      </c>
      <c r="L11" s="57">
        <v>3259.9675057142799</v>
      </c>
      <c r="M11" s="57">
        <f t="shared" si="1"/>
        <v>3096.9691304285657</v>
      </c>
      <c r="N11" s="57">
        <v>3073.0251428571401</v>
      </c>
      <c r="O11" s="58">
        <v>2560.8542857142802</v>
      </c>
      <c r="P11" s="58">
        <v>286</v>
      </c>
      <c r="Q11" s="55">
        <f t="shared" si="0"/>
        <v>2002</v>
      </c>
      <c r="R11" s="45">
        <v>45132</v>
      </c>
    </row>
    <row r="12" spans="1:18" ht="16.5">
      <c r="A12" s="50" t="s">
        <v>105</v>
      </c>
      <c r="B12" s="51" t="s">
        <v>254</v>
      </c>
      <c r="C12" s="52" t="s">
        <v>255</v>
      </c>
      <c r="D12" s="50" t="s">
        <v>231</v>
      </c>
      <c r="E12" s="53" t="s">
        <v>18</v>
      </c>
      <c r="F12" s="53" t="s">
        <v>18</v>
      </c>
      <c r="G12" s="54">
        <v>321.81599199999999</v>
      </c>
      <c r="H12" s="55" t="s">
        <v>121</v>
      </c>
      <c r="I12" s="55" t="s">
        <v>110</v>
      </c>
      <c r="J12" s="55" t="s">
        <v>324</v>
      </c>
      <c r="K12" s="57">
        <v>2188.8728571428501</v>
      </c>
      <c r="L12" s="57">
        <v>2786.4351471428499</v>
      </c>
      <c r="M12" s="57">
        <f t="shared" si="1"/>
        <v>2647.1133897857071</v>
      </c>
      <c r="N12" s="57">
        <v>2626.6474285714198</v>
      </c>
      <c r="O12" s="58">
        <v>2188.8728571428501</v>
      </c>
      <c r="P12" s="58">
        <v>244.857142857143</v>
      </c>
      <c r="Q12" s="55">
        <f t="shared" si="0"/>
        <v>1714.0000000000009</v>
      </c>
      <c r="R12" s="45">
        <v>45132</v>
      </c>
    </row>
    <row r="13" spans="1:18" ht="16.5">
      <c r="A13" s="50" t="s">
        <v>105</v>
      </c>
      <c r="B13" s="50" t="s">
        <v>124</v>
      </c>
      <c r="C13" s="52" t="s">
        <v>125</v>
      </c>
      <c r="D13" s="50" t="s">
        <v>20</v>
      </c>
      <c r="E13" s="53" t="s">
        <v>20</v>
      </c>
      <c r="F13" s="53" t="s">
        <v>108</v>
      </c>
      <c r="G13" s="54">
        <v>275.92202880000002</v>
      </c>
      <c r="H13" s="55" t="s">
        <v>109</v>
      </c>
      <c r="I13" s="55" t="s">
        <v>110</v>
      </c>
      <c r="J13" s="55" t="s">
        <v>325</v>
      </c>
      <c r="K13" s="57">
        <v>3480.66857142856</v>
      </c>
      <c r="L13" s="57">
        <v>4430.8910914285498</v>
      </c>
      <c r="M13" s="57">
        <f t="shared" si="1"/>
        <v>4209.3465368571224</v>
      </c>
      <c r="N13" s="57">
        <v>4176.8022857142696</v>
      </c>
      <c r="O13" s="58">
        <v>3480.66857142856</v>
      </c>
      <c r="P13" s="58">
        <v>404.57142857142901</v>
      </c>
      <c r="Q13" s="55">
        <f t="shared" si="0"/>
        <v>2832.0000000000032</v>
      </c>
      <c r="R13" s="45">
        <v>45132</v>
      </c>
    </row>
    <row r="14" spans="1:18" ht="16.5">
      <c r="A14" s="50" t="s">
        <v>105</v>
      </c>
      <c r="B14" s="50" t="s">
        <v>133</v>
      </c>
      <c r="C14" s="52" t="s">
        <v>134</v>
      </c>
      <c r="D14" s="50" t="s">
        <v>20</v>
      </c>
      <c r="E14" s="53" t="s">
        <v>20</v>
      </c>
      <c r="F14" s="53" t="s">
        <v>108</v>
      </c>
      <c r="G14" s="54">
        <v>460.055656</v>
      </c>
      <c r="H14" s="55" t="s">
        <v>109</v>
      </c>
      <c r="I14" s="55" t="s">
        <v>110</v>
      </c>
      <c r="J14" s="55" t="s">
        <v>325</v>
      </c>
      <c r="K14" s="57">
        <v>2878.6564285714198</v>
      </c>
      <c r="L14" s="57">
        <v>3664.5296335714202</v>
      </c>
      <c r="M14" s="57">
        <f t="shared" si="1"/>
        <v>3481.3031518928492</v>
      </c>
      <c r="N14" s="57">
        <v>3454.3877142857</v>
      </c>
      <c r="O14" s="58">
        <v>2878.6564285714198</v>
      </c>
      <c r="P14" s="58">
        <v>323.642857142857</v>
      </c>
      <c r="Q14" s="55">
        <f t="shared" si="0"/>
        <v>2265.4999999999991</v>
      </c>
      <c r="R14" s="45">
        <v>45132</v>
      </c>
    </row>
    <row r="15" spans="1:18" ht="16.5">
      <c r="A15" s="50" t="s">
        <v>105</v>
      </c>
      <c r="B15" s="50" t="s">
        <v>135</v>
      </c>
      <c r="C15" s="52" t="s">
        <v>136</v>
      </c>
      <c r="D15" s="50" t="s">
        <v>20</v>
      </c>
      <c r="E15" s="53" t="s">
        <v>20</v>
      </c>
      <c r="F15" s="53" t="s">
        <v>108</v>
      </c>
      <c r="G15" s="54">
        <v>299.519272</v>
      </c>
      <c r="H15" s="55" t="s">
        <v>121</v>
      </c>
      <c r="I15" s="55" t="s">
        <v>110</v>
      </c>
      <c r="J15" s="55" t="s">
        <v>325</v>
      </c>
      <c r="K15" s="57">
        <v>2218.89</v>
      </c>
      <c r="L15" s="57">
        <v>2824.6469699999998</v>
      </c>
      <c r="M15" s="57">
        <f t="shared" si="1"/>
        <v>2683.4146214999996</v>
      </c>
      <c r="N15" s="57">
        <v>2662.6680000000001</v>
      </c>
      <c r="O15" s="58">
        <v>2218.89</v>
      </c>
      <c r="P15" s="58">
        <v>253.857142857143</v>
      </c>
      <c r="Q15" s="55">
        <f t="shared" si="0"/>
        <v>1777.0000000000009</v>
      </c>
      <c r="R15" s="45">
        <v>45132</v>
      </c>
    </row>
    <row r="16" spans="1:18" ht="16.5">
      <c r="A16" s="50" t="s">
        <v>105</v>
      </c>
      <c r="B16" s="50" t="s">
        <v>147</v>
      </c>
      <c r="C16" s="52" t="s">
        <v>148</v>
      </c>
      <c r="D16" s="50" t="s">
        <v>20</v>
      </c>
      <c r="E16" s="53" t="s">
        <v>20</v>
      </c>
      <c r="F16" s="53" t="s">
        <v>108</v>
      </c>
      <c r="G16" s="54">
        <v>288.83542699999902</v>
      </c>
      <c r="H16" s="55" t="s">
        <v>121</v>
      </c>
      <c r="I16" s="55" t="s">
        <v>113</v>
      </c>
      <c r="J16" s="55" t="s">
        <v>325</v>
      </c>
      <c r="K16" s="57">
        <v>2857.34428571428</v>
      </c>
      <c r="L16" s="57">
        <v>3637.3992757142801</v>
      </c>
      <c r="M16" s="57">
        <f t="shared" si="1"/>
        <v>3455.5293119285657</v>
      </c>
      <c r="N16" s="57">
        <v>3428.8131428571301</v>
      </c>
      <c r="O16" s="58">
        <v>2857.34428571428</v>
      </c>
      <c r="P16" s="58">
        <v>319.142857142857</v>
      </c>
      <c r="Q16" s="55">
        <f t="shared" si="0"/>
        <v>2233.9999999999991</v>
      </c>
      <c r="R16" s="45">
        <v>45132</v>
      </c>
    </row>
    <row r="17" spans="1:18" ht="16.5">
      <c r="A17" s="50" t="s">
        <v>105</v>
      </c>
      <c r="B17" s="51" t="s">
        <v>242</v>
      </c>
      <c r="C17" s="52" t="s">
        <v>243</v>
      </c>
      <c r="D17" s="50" t="s">
        <v>20</v>
      </c>
      <c r="E17" s="53" t="s">
        <v>20</v>
      </c>
      <c r="F17" s="53" t="s">
        <v>108</v>
      </c>
      <c r="G17" s="54">
        <v>386</v>
      </c>
      <c r="H17" s="55" t="s">
        <v>116</v>
      </c>
      <c r="I17" s="55" t="s">
        <v>110</v>
      </c>
      <c r="J17" s="55" t="s">
        <v>325</v>
      </c>
      <c r="K17" s="57">
        <v>5964.2414285713903</v>
      </c>
      <c r="L17" s="57">
        <v>7592.4793385713801</v>
      </c>
      <c r="M17" s="57">
        <f t="shared" si="1"/>
        <v>7212.8553716428105</v>
      </c>
      <c r="N17" s="57">
        <v>7157.0897142856702</v>
      </c>
      <c r="O17" s="58">
        <v>5964.2414285713903</v>
      </c>
      <c r="P17" s="58">
        <v>708</v>
      </c>
      <c r="Q17" s="55">
        <f t="shared" si="0"/>
        <v>4956</v>
      </c>
      <c r="R17" s="45">
        <v>45132</v>
      </c>
    </row>
    <row r="18" spans="1:18" ht="16.5">
      <c r="A18" s="50" t="s">
        <v>105</v>
      </c>
      <c r="B18" s="51" t="s">
        <v>195</v>
      </c>
      <c r="C18" s="52" t="s">
        <v>196</v>
      </c>
      <c r="D18" s="50" t="s">
        <v>11</v>
      </c>
      <c r="E18" s="53" t="s">
        <v>11</v>
      </c>
      <c r="F18" s="53" t="s">
        <v>197</v>
      </c>
      <c r="G18" s="54">
        <v>190</v>
      </c>
      <c r="H18" s="55" t="s">
        <v>109</v>
      </c>
      <c r="I18" s="55" t="s">
        <v>113</v>
      </c>
      <c r="J18" s="55" t="s">
        <v>324</v>
      </c>
      <c r="K18" s="57">
        <v>2608.1292857142798</v>
      </c>
      <c r="L18" s="57">
        <v>3320.1485807142799</v>
      </c>
      <c r="M18" s="57">
        <f t="shared" si="1"/>
        <v>3154.1411516785656</v>
      </c>
      <c r="N18" s="57">
        <v>3129.7551428571301</v>
      </c>
      <c r="O18" s="58">
        <v>2608.1292857142798</v>
      </c>
      <c r="P18" s="58">
        <v>304.92857142857099</v>
      </c>
      <c r="Q18" s="55">
        <f t="shared" si="0"/>
        <v>2134.4999999999968</v>
      </c>
      <c r="R18" s="45">
        <v>45132</v>
      </c>
    </row>
    <row r="19" spans="1:18" ht="16.5">
      <c r="A19" s="50" t="s">
        <v>105</v>
      </c>
      <c r="B19" s="51" t="s">
        <v>187</v>
      </c>
      <c r="C19" s="52" t="s">
        <v>188</v>
      </c>
      <c r="D19" s="50" t="s">
        <v>11</v>
      </c>
      <c r="E19" s="53" t="s">
        <v>11</v>
      </c>
      <c r="F19" s="53" t="s">
        <v>189</v>
      </c>
      <c r="G19" s="54">
        <v>488</v>
      </c>
      <c r="H19" s="55" t="s">
        <v>121</v>
      </c>
      <c r="I19" s="55" t="s">
        <v>113</v>
      </c>
      <c r="J19" s="55" t="s">
        <v>324</v>
      </c>
      <c r="K19" s="57">
        <v>2207.1742857142799</v>
      </c>
      <c r="L19" s="57">
        <v>2809.7328657142798</v>
      </c>
      <c r="M19" s="57">
        <f t="shared" si="1"/>
        <v>2669.2462224285655</v>
      </c>
      <c r="N19" s="57">
        <v>2648.6091428571399</v>
      </c>
      <c r="O19" s="58">
        <v>2207.1742857142799</v>
      </c>
      <c r="P19" s="58">
        <v>261.142857142857</v>
      </c>
      <c r="Q19" s="55">
        <f t="shared" si="0"/>
        <v>1827.9999999999991</v>
      </c>
      <c r="R19" s="45">
        <v>45132</v>
      </c>
    </row>
    <row r="20" spans="1:18" ht="16.5">
      <c r="A20" s="50" t="s">
        <v>105</v>
      </c>
      <c r="B20" s="50" t="s">
        <v>119</v>
      </c>
      <c r="C20" s="52" t="s">
        <v>120</v>
      </c>
      <c r="D20" s="50" t="s">
        <v>20</v>
      </c>
      <c r="E20" s="53" t="s">
        <v>20</v>
      </c>
      <c r="F20" s="53" t="s">
        <v>108</v>
      </c>
      <c r="G20" s="54">
        <v>125.419104</v>
      </c>
      <c r="H20" s="55" t="s">
        <v>121</v>
      </c>
      <c r="I20" s="55" t="s">
        <v>110</v>
      </c>
      <c r="J20" s="55" t="s">
        <v>325</v>
      </c>
      <c r="K20" s="57">
        <v>2544.5100000000002</v>
      </c>
      <c r="L20" s="57">
        <v>3239.1612299999902</v>
      </c>
      <c r="M20" s="57">
        <f t="shared" si="1"/>
        <v>3077.2031684999906</v>
      </c>
      <c r="N20" s="57">
        <v>3053.4119999999898</v>
      </c>
      <c r="O20" s="58">
        <v>2544.5100000000002</v>
      </c>
      <c r="P20" s="58">
        <v>288.28571428571399</v>
      </c>
      <c r="Q20" s="55">
        <f t="shared" si="0"/>
        <v>2017.999999999998</v>
      </c>
      <c r="R20" s="45">
        <v>45132</v>
      </c>
    </row>
    <row r="21" spans="1:18" ht="16.5">
      <c r="A21" s="50" t="s">
        <v>105</v>
      </c>
      <c r="B21" s="51" t="s">
        <v>198</v>
      </c>
      <c r="C21" s="52" t="s">
        <v>199</v>
      </c>
      <c r="D21" s="50" t="s">
        <v>11</v>
      </c>
      <c r="E21" s="53" t="s">
        <v>11</v>
      </c>
      <c r="F21" s="53" t="s">
        <v>189</v>
      </c>
      <c r="G21" s="54">
        <v>209</v>
      </c>
      <c r="H21" s="55" t="s">
        <v>121</v>
      </c>
      <c r="I21" s="55" t="s">
        <v>113</v>
      </c>
      <c r="J21" s="55" t="s">
        <v>324</v>
      </c>
      <c r="K21" s="57">
        <v>2111.88</v>
      </c>
      <c r="L21" s="57">
        <v>2688.4232400000001</v>
      </c>
      <c r="M21" s="57">
        <f t="shared" si="1"/>
        <v>2554.002078</v>
      </c>
      <c r="N21" s="57">
        <v>2534.2559999999999</v>
      </c>
      <c r="O21" s="58">
        <v>2111.88</v>
      </c>
      <c r="P21" s="58">
        <v>251.28571428571399</v>
      </c>
      <c r="Q21" s="55">
        <f t="shared" si="0"/>
        <v>1758.999999999998</v>
      </c>
      <c r="R21" s="45">
        <v>45132</v>
      </c>
    </row>
    <row r="22" spans="1:18" ht="16.5">
      <c r="A22" s="50" t="s">
        <v>105</v>
      </c>
      <c r="B22" s="51" t="s">
        <v>248</v>
      </c>
      <c r="C22" s="52" t="s">
        <v>249</v>
      </c>
      <c r="D22" s="50" t="s">
        <v>231</v>
      </c>
      <c r="E22" s="53" t="s">
        <v>18</v>
      </c>
      <c r="F22" s="53" t="s">
        <v>18</v>
      </c>
      <c r="G22" s="54">
        <v>287</v>
      </c>
      <c r="H22" s="55" t="s">
        <v>109</v>
      </c>
      <c r="I22" s="55" t="s">
        <v>110</v>
      </c>
      <c r="J22" s="55" t="s">
        <v>324</v>
      </c>
      <c r="K22" s="57">
        <v>3257.3378571428402</v>
      </c>
      <c r="L22" s="57">
        <v>4146.5910921428404</v>
      </c>
      <c r="M22" s="57">
        <f t="shared" si="1"/>
        <v>3939.2615375356982</v>
      </c>
      <c r="N22" s="57">
        <v>3908.8054285714102</v>
      </c>
      <c r="O22" s="58">
        <v>3257.3378571428402</v>
      </c>
      <c r="P22" s="58">
        <v>373.357142857143</v>
      </c>
      <c r="Q22" s="55">
        <f t="shared" si="0"/>
        <v>2613.5000000000009</v>
      </c>
      <c r="R22" s="45">
        <v>45132</v>
      </c>
    </row>
    <row r="23" spans="1:18" ht="16.5">
      <c r="A23" s="50" t="s">
        <v>105</v>
      </c>
      <c r="B23" s="50" t="s">
        <v>137</v>
      </c>
      <c r="C23" s="52" t="s">
        <v>138</v>
      </c>
      <c r="D23" s="50" t="s">
        <v>20</v>
      </c>
      <c r="E23" s="53" t="s">
        <v>20</v>
      </c>
      <c r="F23" s="53" t="s">
        <v>108</v>
      </c>
      <c r="G23" s="54">
        <v>376.62876199999903</v>
      </c>
      <c r="H23" s="55" t="s">
        <v>116</v>
      </c>
      <c r="I23" s="55" t="s">
        <v>295</v>
      </c>
      <c r="J23" s="55" t="s">
        <v>325</v>
      </c>
      <c r="K23" s="57">
        <v>13869.3642857142</v>
      </c>
      <c r="L23" s="57">
        <v>17655.700735714199</v>
      </c>
      <c r="M23" s="57">
        <f t="shared" si="1"/>
        <v>16772.915698928489</v>
      </c>
      <c r="N23" s="57">
        <v>16643.237142857099</v>
      </c>
      <c r="O23" s="58">
        <v>13869.3642857142</v>
      </c>
      <c r="P23" s="58">
        <v>1515.5</v>
      </c>
      <c r="Q23" s="55">
        <f t="shared" si="0"/>
        <v>10608.5</v>
      </c>
      <c r="R23" s="45">
        <v>45132</v>
      </c>
    </row>
    <row r="24" spans="1:18" ht="16.5">
      <c r="A24" s="50" t="s">
        <v>105</v>
      </c>
      <c r="B24" s="51" t="s">
        <v>178</v>
      </c>
      <c r="C24" s="52" t="s">
        <v>179</v>
      </c>
      <c r="D24" s="50" t="s">
        <v>20</v>
      </c>
      <c r="E24" s="53" t="s">
        <v>20</v>
      </c>
      <c r="F24" s="53" t="s">
        <v>108</v>
      </c>
      <c r="G24" s="54">
        <v>331</v>
      </c>
      <c r="H24" s="55" t="s">
        <v>121</v>
      </c>
      <c r="I24" s="55" t="s">
        <v>113</v>
      </c>
      <c r="J24" s="55" t="s">
        <v>325</v>
      </c>
      <c r="K24" s="57">
        <v>2077.77714285714</v>
      </c>
      <c r="L24" s="57">
        <v>2645.0103028571398</v>
      </c>
      <c r="M24" s="57">
        <f t="shared" si="1"/>
        <v>2512.7597877142825</v>
      </c>
      <c r="N24" s="57">
        <v>2493.3325714285702</v>
      </c>
      <c r="O24" s="58">
        <v>2077.77714285714</v>
      </c>
      <c r="P24" s="58">
        <v>229.42857142857099</v>
      </c>
      <c r="Q24" s="55">
        <f t="shared" si="0"/>
        <v>1605.9999999999968</v>
      </c>
      <c r="R24" s="45">
        <v>45132</v>
      </c>
    </row>
    <row r="25" spans="1:18" ht="16.5">
      <c r="A25" s="50" t="s">
        <v>105</v>
      </c>
      <c r="B25" s="51" t="s">
        <v>232</v>
      </c>
      <c r="C25" s="52" t="s">
        <v>233</v>
      </c>
      <c r="D25" s="50" t="s">
        <v>231</v>
      </c>
      <c r="E25" s="53" t="s">
        <v>18</v>
      </c>
      <c r="F25" s="53" t="s">
        <v>18</v>
      </c>
      <c r="G25" s="54">
        <v>371</v>
      </c>
      <c r="H25" s="55" t="s">
        <v>109</v>
      </c>
      <c r="I25" s="55" t="s">
        <v>110</v>
      </c>
      <c r="J25" s="55" t="s">
        <v>324</v>
      </c>
      <c r="K25" s="57">
        <v>3536.4828571428402</v>
      </c>
      <c r="L25" s="57">
        <v>4501.9426771428398</v>
      </c>
      <c r="M25" s="57">
        <f t="shared" si="1"/>
        <v>4276.8455432856972</v>
      </c>
      <c r="N25" s="57">
        <v>4243.7794285714099</v>
      </c>
      <c r="O25" s="58">
        <v>3536.4828571428402</v>
      </c>
      <c r="P25" s="58">
        <v>408.857142857143</v>
      </c>
      <c r="Q25" s="55">
        <f t="shared" si="0"/>
        <v>2862.0000000000009</v>
      </c>
      <c r="R25" s="45">
        <v>45132</v>
      </c>
    </row>
    <row r="26" spans="1:18" ht="16.5">
      <c r="A26" s="50" t="s">
        <v>105</v>
      </c>
      <c r="B26" s="51" t="s">
        <v>192</v>
      </c>
      <c r="C26" s="52" t="s">
        <v>193</v>
      </c>
      <c r="D26" s="50" t="s">
        <v>11</v>
      </c>
      <c r="E26" s="53" t="s">
        <v>11</v>
      </c>
      <c r="F26" s="53" t="s">
        <v>194</v>
      </c>
      <c r="G26" s="54">
        <v>382</v>
      </c>
      <c r="H26" s="55" t="s">
        <v>121</v>
      </c>
      <c r="I26" s="55" t="s">
        <v>110</v>
      </c>
      <c r="J26" s="55" t="s">
        <v>324</v>
      </c>
      <c r="K26" s="57">
        <v>2276.2285714285699</v>
      </c>
      <c r="L26" s="57">
        <v>2897.6389714285601</v>
      </c>
      <c r="M26" s="57">
        <f t="shared" si="1"/>
        <v>2752.7570228571321</v>
      </c>
      <c r="N26" s="57">
        <v>2731.4742857142801</v>
      </c>
      <c r="O26" s="58">
        <v>2276.2285714285699</v>
      </c>
      <c r="P26" s="58">
        <v>270</v>
      </c>
      <c r="Q26" s="55">
        <f t="shared" si="0"/>
        <v>1890</v>
      </c>
      <c r="R26" s="45">
        <v>45132</v>
      </c>
    </row>
    <row r="27" spans="1:18" ht="16.5">
      <c r="A27" s="50" t="s">
        <v>105</v>
      </c>
      <c r="B27" s="50" t="s">
        <v>149</v>
      </c>
      <c r="C27" s="52" t="s">
        <v>150</v>
      </c>
      <c r="D27" s="50" t="s">
        <v>20</v>
      </c>
      <c r="E27" s="53" t="s">
        <v>20</v>
      </c>
      <c r="F27" s="53" t="s">
        <v>108</v>
      </c>
      <c r="G27" s="54">
        <v>324</v>
      </c>
      <c r="H27" s="55" t="s">
        <v>109</v>
      </c>
      <c r="I27" s="55" t="s">
        <v>113</v>
      </c>
      <c r="J27" s="55" t="s">
        <v>325</v>
      </c>
      <c r="K27" s="57">
        <v>3400.0757142857001</v>
      </c>
      <c r="L27" s="57">
        <v>4328.2963842856998</v>
      </c>
      <c r="M27" s="57">
        <f t="shared" si="1"/>
        <v>4111.881565071415</v>
      </c>
      <c r="N27" s="57">
        <v>4080.0908571428399</v>
      </c>
      <c r="O27" s="58">
        <v>3400.0757142857001</v>
      </c>
      <c r="P27" s="58">
        <v>399.57142857142901</v>
      </c>
      <c r="Q27" s="55">
        <f t="shared" si="0"/>
        <v>2797.0000000000032</v>
      </c>
      <c r="R27" s="45">
        <v>45132</v>
      </c>
    </row>
    <row r="28" spans="1:18" ht="16.5">
      <c r="A28" s="50" t="s">
        <v>105</v>
      </c>
      <c r="B28" s="51" t="s">
        <v>213</v>
      </c>
      <c r="C28" s="52" t="s">
        <v>214</v>
      </c>
      <c r="D28" s="50" t="s">
        <v>11</v>
      </c>
      <c r="E28" s="53" t="s">
        <v>11</v>
      </c>
      <c r="F28" s="53" t="s">
        <v>197</v>
      </c>
      <c r="G28" s="54">
        <v>236</v>
      </c>
      <c r="H28" s="55" t="s">
        <v>121</v>
      </c>
      <c r="I28" s="55" t="s">
        <v>113</v>
      </c>
      <c r="J28" s="55" t="s">
        <v>324</v>
      </c>
      <c r="K28" s="57">
        <v>1682.2007142857101</v>
      </c>
      <c r="L28" s="57">
        <v>2141.4415092857098</v>
      </c>
      <c r="M28" s="57">
        <f t="shared" si="1"/>
        <v>2034.3694338214243</v>
      </c>
      <c r="N28" s="57">
        <v>2018.6408571428601</v>
      </c>
      <c r="O28" s="58">
        <v>1682.2007142857101</v>
      </c>
      <c r="P28" s="58">
        <v>201.357142857143</v>
      </c>
      <c r="Q28" s="55">
        <f t="shared" si="0"/>
        <v>1409.5000000000009</v>
      </c>
      <c r="R28" s="45">
        <v>45132</v>
      </c>
    </row>
    <row r="29" spans="1:18" ht="16.5">
      <c r="A29" s="50" t="s">
        <v>105</v>
      </c>
      <c r="B29" s="51" t="s">
        <v>172</v>
      </c>
      <c r="C29" s="52" t="s">
        <v>173</v>
      </c>
      <c r="D29" s="50" t="s">
        <v>11</v>
      </c>
      <c r="E29" s="53" t="s">
        <v>11</v>
      </c>
      <c r="F29" s="53" t="s">
        <v>174</v>
      </c>
      <c r="G29" s="54">
        <v>281.2</v>
      </c>
      <c r="H29" s="55" t="s">
        <v>121</v>
      </c>
      <c r="I29" s="55" t="s">
        <v>110</v>
      </c>
      <c r="J29" s="55" t="s">
        <v>324</v>
      </c>
      <c r="K29" s="57">
        <v>2060.3592857142798</v>
      </c>
      <c r="L29" s="57">
        <v>2622.83737071428</v>
      </c>
      <c r="M29" s="57">
        <f t="shared" si="1"/>
        <v>2491.6955021785661</v>
      </c>
      <c r="N29" s="57">
        <v>2472.43114285714</v>
      </c>
      <c r="O29" s="58">
        <v>2060.3592857142798</v>
      </c>
      <c r="P29" s="58">
        <v>246.21428571428601</v>
      </c>
      <c r="Q29" s="55">
        <f t="shared" si="0"/>
        <v>1723.500000000002</v>
      </c>
      <c r="R29" s="45">
        <v>45132</v>
      </c>
    </row>
    <row r="30" spans="1:18" ht="16.5">
      <c r="A30" s="50" t="s">
        <v>105</v>
      </c>
      <c r="B30" s="50" t="s">
        <v>152</v>
      </c>
      <c r="C30" s="52" t="s">
        <v>153</v>
      </c>
      <c r="D30" s="50" t="s">
        <v>20</v>
      </c>
      <c r="E30" s="53" t="s">
        <v>20</v>
      </c>
      <c r="F30" s="53" t="s">
        <v>108</v>
      </c>
      <c r="G30" s="54">
        <v>399</v>
      </c>
      <c r="H30" s="55" t="s">
        <v>109</v>
      </c>
      <c r="I30" s="55" t="s">
        <v>128</v>
      </c>
      <c r="J30" s="55" t="s">
        <v>325</v>
      </c>
      <c r="K30" s="57">
        <v>4231.8457142856896</v>
      </c>
      <c r="L30" s="57">
        <v>5387.1395942856898</v>
      </c>
      <c r="M30" s="57">
        <f t="shared" si="1"/>
        <v>5117.7826145714052</v>
      </c>
      <c r="N30" s="57">
        <v>5078.2148571428297</v>
      </c>
      <c r="O30" s="58">
        <v>4231.8457142856896</v>
      </c>
      <c r="P30" s="58">
        <v>501.142857142857</v>
      </c>
      <c r="Q30" s="55">
        <f t="shared" si="0"/>
        <v>3507.9999999999991</v>
      </c>
      <c r="R30" s="45">
        <v>45132</v>
      </c>
    </row>
    <row r="31" spans="1:18" ht="16.5">
      <c r="A31" s="50" t="s">
        <v>105</v>
      </c>
      <c r="B31" s="51" t="s">
        <v>207</v>
      </c>
      <c r="C31" s="52" t="s">
        <v>208</v>
      </c>
      <c r="D31" s="50" t="s">
        <v>11</v>
      </c>
      <c r="E31" s="53" t="s">
        <v>11</v>
      </c>
      <c r="F31" s="53" t="s">
        <v>197</v>
      </c>
      <c r="G31" s="54">
        <v>378</v>
      </c>
      <c r="H31" s="55" t="s">
        <v>109</v>
      </c>
      <c r="I31" s="55" t="s">
        <v>113</v>
      </c>
      <c r="J31" s="55" t="s">
        <v>324</v>
      </c>
      <c r="K31" s="57">
        <v>2797.0707142857</v>
      </c>
      <c r="L31" s="57">
        <v>3560.6710192856999</v>
      </c>
      <c r="M31" s="57">
        <f t="shared" si="1"/>
        <v>3382.6374683214149</v>
      </c>
      <c r="N31" s="57">
        <v>3356.4848571428502</v>
      </c>
      <c r="O31" s="58">
        <v>2797.0707142857</v>
      </c>
      <c r="P31" s="58">
        <v>328.642857142857</v>
      </c>
      <c r="Q31" s="55">
        <f t="shared" si="0"/>
        <v>2300.4999999999991</v>
      </c>
      <c r="R31" s="45">
        <v>45132</v>
      </c>
    </row>
    <row r="32" spans="1:18" ht="16.5">
      <c r="A32" s="50" t="s">
        <v>105</v>
      </c>
      <c r="B32" s="51" t="s">
        <v>180</v>
      </c>
      <c r="C32" s="52" t="s">
        <v>181</v>
      </c>
      <c r="D32" s="50" t="s">
        <v>11</v>
      </c>
      <c r="E32" s="53" t="s">
        <v>11</v>
      </c>
      <c r="F32" s="53" t="s">
        <v>182</v>
      </c>
      <c r="G32" s="54">
        <v>197</v>
      </c>
      <c r="H32" s="55" t="s">
        <v>121</v>
      </c>
      <c r="I32" s="55" t="s">
        <v>110</v>
      </c>
      <c r="J32" s="55" t="s">
        <v>324</v>
      </c>
      <c r="K32" s="57">
        <v>1807.2071428571401</v>
      </c>
      <c r="L32" s="57">
        <v>2300.5746928571398</v>
      </c>
      <c r="M32" s="57">
        <f t="shared" si="1"/>
        <v>2185.5459582142826</v>
      </c>
      <c r="N32" s="57">
        <v>2168.64857142857</v>
      </c>
      <c r="O32" s="58">
        <v>1807.2071428571401</v>
      </c>
      <c r="P32" s="58">
        <v>204.28571428571399</v>
      </c>
      <c r="Q32" s="55">
        <f t="shared" si="0"/>
        <v>1429.999999999998</v>
      </c>
      <c r="R32" s="45">
        <v>45132</v>
      </c>
    </row>
    <row r="33" spans="1:18" ht="16.5">
      <c r="A33" s="50" t="s">
        <v>105</v>
      </c>
      <c r="B33" s="51" t="s">
        <v>202</v>
      </c>
      <c r="C33" s="52" t="s">
        <v>203</v>
      </c>
      <c r="D33" s="50" t="s">
        <v>20</v>
      </c>
      <c r="E33" s="53" t="s">
        <v>20</v>
      </c>
      <c r="F33" s="53" t="s">
        <v>108</v>
      </c>
      <c r="G33" s="54">
        <v>270</v>
      </c>
      <c r="H33" s="55" t="s">
        <v>109</v>
      </c>
      <c r="I33" s="55" t="s">
        <v>110</v>
      </c>
      <c r="J33" s="55" t="s">
        <v>325</v>
      </c>
      <c r="K33" s="57">
        <v>4600.2149999999801</v>
      </c>
      <c r="L33" s="57">
        <v>5856.07369499997</v>
      </c>
      <c r="M33" s="57">
        <f t="shared" si="1"/>
        <v>5563.2700102499712</v>
      </c>
      <c r="N33" s="57">
        <v>5520.2579999999698</v>
      </c>
      <c r="O33" s="58">
        <v>4600.2149999999801</v>
      </c>
      <c r="P33" s="58">
        <v>546.357142857143</v>
      </c>
      <c r="Q33" s="55">
        <f t="shared" si="0"/>
        <v>3824.5000000000009</v>
      </c>
      <c r="R33" s="45">
        <v>45132</v>
      </c>
    </row>
    <row r="34" spans="1:18" ht="16.5">
      <c r="A34" s="50" t="s">
        <v>105</v>
      </c>
      <c r="B34" s="51" t="s">
        <v>156</v>
      </c>
      <c r="C34" s="52" t="s">
        <v>157</v>
      </c>
      <c r="D34" s="50" t="s">
        <v>20</v>
      </c>
      <c r="E34" s="53" t="s">
        <v>20</v>
      </c>
      <c r="F34" s="53" t="s">
        <v>108</v>
      </c>
      <c r="G34" s="54">
        <v>398</v>
      </c>
      <c r="H34" s="55" t="s">
        <v>121</v>
      </c>
      <c r="I34" s="55" t="s">
        <v>110</v>
      </c>
      <c r="J34" s="55" t="s">
        <v>325</v>
      </c>
      <c r="K34" s="57">
        <v>2168.88</v>
      </c>
      <c r="L34" s="57">
        <v>2760.9842400000002</v>
      </c>
      <c r="M34" s="57">
        <f t="shared" si="1"/>
        <v>2622.9350279999999</v>
      </c>
      <c r="N34" s="57">
        <v>2602.6559999999999</v>
      </c>
      <c r="O34" s="58">
        <v>2168.88</v>
      </c>
      <c r="P34" s="58">
        <v>251.28571428571399</v>
      </c>
      <c r="Q34" s="55">
        <f t="shared" si="0"/>
        <v>1758.999999999998</v>
      </c>
      <c r="R34" s="45">
        <v>45132</v>
      </c>
    </row>
    <row r="35" spans="1:18" ht="16.5">
      <c r="A35" s="50" t="s">
        <v>105</v>
      </c>
      <c r="B35" s="50" t="s">
        <v>145</v>
      </c>
      <c r="C35" s="52" t="s">
        <v>146</v>
      </c>
      <c r="D35" s="50" t="s">
        <v>20</v>
      </c>
      <c r="E35" s="53" t="s">
        <v>20</v>
      </c>
      <c r="F35" s="53" t="s">
        <v>108</v>
      </c>
      <c r="G35" s="54">
        <v>399.48289999999901</v>
      </c>
      <c r="H35" s="55" t="s">
        <v>116</v>
      </c>
      <c r="I35" s="55" t="s">
        <v>113</v>
      </c>
      <c r="J35" s="55" t="s">
        <v>325</v>
      </c>
      <c r="K35" s="57">
        <v>4760.5728571428199</v>
      </c>
      <c r="L35" s="57">
        <v>6060.2092471428195</v>
      </c>
      <c r="M35" s="57">
        <f t="shared" si="1"/>
        <v>5757.1987847856781</v>
      </c>
      <c r="N35" s="57">
        <v>5712.6874285713902</v>
      </c>
      <c r="O35" s="58">
        <v>4760.5728571428199</v>
      </c>
      <c r="P35" s="58">
        <v>585.57142857142901</v>
      </c>
      <c r="Q35" s="55">
        <f t="shared" si="0"/>
        <v>4099.0000000000027</v>
      </c>
      <c r="R35" s="45">
        <v>45132</v>
      </c>
    </row>
    <row r="36" spans="1:18" ht="16.5">
      <c r="A36" s="50" t="s">
        <v>105</v>
      </c>
      <c r="B36" s="50" t="s">
        <v>122</v>
      </c>
      <c r="C36" s="52" t="s">
        <v>123</v>
      </c>
      <c r="D36" s="50" t="s">
        <v>20</v>
      </c>
      <c r="E36" s="53" t="s">
        <v>20</v>
      </c>
      <c r="F36" s="53" t="s">
        <v>108</v>
      </c>
      <c r="G36" s="54">
        <v>441.93976129999902</v>
      </c>
      <c r="H36" s="55" t="s">
        <v>116</v>
      </c>
      <c r="I36" s="55" t="s">
        <v>295</v>
      </c>
      <c r="J36" s="55" t="s">
        <v>325</v>
      </c>
      <c r="K36" s="57">
        <v>10104.577142857101</v>
      </c>
      <c r="L36" s="57">
        <v>12863.1267028571</v>
      </c>
      <c r="M36" s="57">
        <f t="shared" ref="M36:M72" si="2">L36*0.95</f>
        <v>12219.970367714244</v>
      </c>
      <c r="N36" s="57">
        <v>12125.4925714285</v>
      </c>
      <c r="O36" s="58">
        <v>10104.577142857101</v>
      </c>
      <c r="P36" s="58">
        <v>1128.1428571428601</v>
      </c>
      <c r="Q36" s="55">
        <f t="shared" si="0"/>
        <v>7897.00000000002</v>
      </c>
      <c r="R36" s="45">
        <v>45132</v>
      </c>
    </row>
    <row r="37" spans="1:18" ht="16.5">
      <c r="A37" s="50" t="s">
        <v>105</v>
      </c>
      <c r="B37" s="51" t="s">
        <v>220</v>
      </c>
      <c r="C37" s="52" t="s">
        <v>221</v>
      </c>
      <c r="D37" s="50" t="s">
        <v>20</v>
      </c>
      <c r="E37" s="53" t="s">
        <v>19</v>
      </c>
      <c r="F37" s="53" t="s">
        <v>19</v>
      </c>
      <c r="G37" s="54">
        <v>411</v>
      </c>
      <c r="H37" s="55" t="s">
        <v>116</v>
      </c>
      <c r="I37" s="55" t="s">
        <v>128</v>
      </c>
      <c r="J37" s="55" t="s">
        <v>325</v>
      </c>
      <c r="K37" s="57">
        <v>5676.7064285713896</v>
      </c>
      <c r="L37" s="57">
        <v>7226.4472835713796</v>
      </c>
      <c r="M37" s="57">
        <f t="shared" si="2"/>
        <v>6865.1249193928106</v>
      </c>
      <c r="N37" s="57">
        <v>6812.0477142856698</v>
      </c>
      <c r="O37" s="58">
        <v>5676.7064285713896</v>
      </c>
      <c r="P37" s="58">
        <v>643.642857142857</v>
      </c>
      <c r="Q37" s="55">
        <f t="shared" si="0"/>
        <v>4505.4999999999991</v>
      </c>
      <c r="R37" s="45">
        <v>45132</v>
      </c>
    </row>
    <row r="38" spans="1:18" ht="16.5">
      <c r="A38" s="50" t="s">
        <v>105</v>
      </c>
      <c r="B38" s="51" t="s">
        <v>229</v>
      </c>
      <c r="C38" s="52" t="s">
        <v>230</v>
      </c>
      <c r="D38" s="50" t="s">
        <v>231</v>
      </c>
      <c r="E38" s="53" t="s">
        <v>18</v>
      </c>
      <c r="F38" s="53" t="s">
        <v>18</v>
      </c>
      <c r="G38" s="54">
        <v>389</v>
      </c>
      <c r="H38" s="55" t="s">
        <v>109</v>
      </c>
      <c r="I38" s="55" t="s">
        <v>110</v>
      </c>
      <c r="J38" s="55" t="s">
        <v>324</v>
      </c>
      <c r="K38" s="57">
        <v>2923.7871428571302</v>
      </c>
      <c r="L38" s="57">
        <v>3721.9810328571298</v>
      </c>
      <c r="M38" s="57">
        <f t="shared" si="2"/>
        <v>3535.8819812142733</v>
      </c>
      <c r="N38" s="57">
        <v>3508.5445714285602</v>
      </c>
      <c r="O38" s="58">
        <v>2923.7871428571302</v>
      </c>
      <c r="P38" s="58">
        <v>335.57142857142901</v>
      </c>
      <c r="Q38" s="55">
        <f t="shared" si="0"/>
        <v>2349.0000000000032</v>
      </c>
      <c r="R38" s="45">
        <v>45132</v>
      </c>
    </row>
    <row r="39" spans="1:18" ht="16.5">
      <c r="A39" s="50" t="s">
        <v>105</v>
      </c>
      <c r="B39" s="51" t="s">
        <v>160</v>
      </c>
      <c r="C39" s="52" t="s">
        <v>161</v>
      </c>
      <c r="D39" s="50" t="s">
        <v>20</v>
      </c>
      <c r="E39" s="53" t="s">
        <v>20</v>
      </c>
      <c r="F39" s="53" t="s">
        <v>108</v>
      </c>
      <c r="G39" s="54">
        <v>325.60000000000002</v>
      </c>
      <c r="H39" s="55" t="s">
        <v>109</v>
      </c>
      <c r="I39" s="55" t="s">
        <v>128</v>
      </c>
      <c r="J39" s="55" t="s">
        <v>325</v>
      </c>
      <c r="K39" s="57">
        <v>3324.7821428571301</v>
      </c>
      <c r="L39" s="57">
        <v>4232.44766785713</v>
      </c>
      <c r="M39" s="57">
        <f t="shared" si="2"/>
        <v>4020.8252844642734</v>
      </c>
      <c r="N39" s="57">
        <v>3989.7385714285601</v>
      </c>
      <c r="O39" s="58">
        <v>3324.7821428571301</v>
      </c>
      <c r="P39" s="58">
        <v>386.07142857142901</v>
      </c>
      <c r="Q39" s="55">
        <f t="shared" si="0"/>
        <v>2702.5000000000032</v>
      </c>
      <c r="R39" s="45">
        <v>45132</v>
      </c>
    </row>
    <row r="40" spans="1:18" ht="16.5">
      <c r="A40" s="50" t="s">
        <v>105</v>
      </c>
      <c r="B40" s="51" t="s">
        <v>250</v>
      </c>
      <c r="C40" s="52" t="s">
        <v>251</v>
      </c>
      <c r="D40" s="50" t="s">
        <v>231</v>
      </c>
      <c r="E40" s="53" t="s">
        <v>18</v>
      </c>
      <c r="F40" s="53" t="s">
        <v>18</v>
      </c>
      <c r="G40" s="54">
        <v>327.57597800000002</v>
      </c>
      <c r="H40" s="55" t="s">
        <v>109</v>
      </c>
      <c r="I40" s="55" t="s">
        <v>110</v>
      </c>
      <c r="J40" s="55" t="s">
        <v>324</v>
      </c>
      <c r="K40" s="57">
        <v>3214.2342857142698</v>
      </c>
      <c r="L40" s="57">
        <v>4091.7202457142698</v>
      </c>
      <c r="M40" s="57">
        <f t="shared" si="2"/>
        <v>3887.1342334285559</v>
      </c>
      <c r="N40" s="57">
        <v>3857.0811428571301</v>
      </c>
      <c r="O40" s="58">
        <v>3214.2342857142698</v>
      </c>
      <c r="P40" s="58">
        <v>351.57142857142901</v>
      </c>
      <c r="Q40" s="55">
        <f t="shared" si="0"/>
        <v>2461.0000000000032</v>
      </c>
      <c r="R40" s="45">
        <v>45132</v>
      </c>
    </row>
    <row r="41" spans="1:18" ht="16.5">
      <c r="A41" s="50" t="s">
        <v>105</v>
      </c>
      <c r="B41" s="50" t="s">
        <v>131</v>
      </c>
      <c r="C41" s="52" t="s">
        <v>132</v>
      </c>
      <c r="D41" s="50" t="s">
        <v>20</v>
      </c>
      <c r="E41" s="53" t="s">
        <v>20</v>
      </c>
      <c r="F41" s="53" t="s">
        <v>108</v>
      </c>
      <c r="G41" s="54">
        <v>323.20953700000001</v>
      </c>
      <c r="H41" s="55" t="s">
        <v>109</v>
      </c>
      <c r="I41" s="55" t="s">
        <v>113</v>
      </c>
      <c r="J41" s="55" t="s">
        <v>325</v>
      </c>
      <c r="K41" s="57">
        <v>4144.9049999999797</v>
      </c>
      <c r="L41" s="57">
        <v>5276.4640649999701</v>
      </c>
      <c r="M41" s="57">
        <f t="shared" si="2"/>
        <v>5012.640861749971</v>
      </c>
      <c r="N41" s="57">
        <v>4973.8859999999704</v>
      </c>
      <c r="O41" s="58">
        <v>4144.9049999999797</v>
      </c>
      <c r="P41" s="58">
        <v>495.21428571428601</v>
      </c>
      <c r="Q41" s="55">
        <f t="shared" si="0"/>
        <v>3466.5000000000018</v>
      </c>
      <c r="R41" s="45">
        <v>45132</v>
      </c>
    </row>
    <row r="42" spans="1:18" ht="16.5">
      <c r="A42" s="50" t="s">
        <v>105</v>
      </c>
      <c r="B42" s="51" t="s">
        <v>211</v>
      </c>
      <c r="C42" s="52" t="s">
        <v>212</v>
      </c>
      <c r="D42" s="50" t="s">
        <v>11</v>
      </c>
      <c r="E42" s="53" t="s">
        <v>11</v>
      </c>
      <c r="F42" s="53" t="s">
        <v>174</v>
      </c>
      <c r="G42" s="54">
        <v>348</v>
      </c>
      <c r="H42" s="55" t="s">
        <v>109</v>
      </c>
      <c r="I42" s="55" t="s">
        <v>110</v>
      </c>
      <c r="J42" s="55" t="s">
        <v>324</v>
      </c>
      <c r="K42" s="57">
        <v>2902.9471428571301</v>
      </c>
      <c r="L42" s="57">
        <v>3695.4517128571301</v>
      </c>
      <c r="M42" s="57">
        <f t="shared" si="2"/>
        <v>3510.6791272142736</v>
      </c>
      <c r="N42" s="57">
        <v>3483.5365714285599</v>
      </c>
      <c r="O42" s="58">
        <v>2902.9471428571301</v>
      </c>
      <c r="P42" s="58">
        <v>348.142857142857</v>
      </c>
      <c r="Q42" s="55">
        <f t="shared" si="0"/>
        <v>2436.9999999999991</v>
      </c>
      <c r="R42" s="45">
        <v>45132</v>
      </c>
    </row>
    <row r="43" spans="1:18" ht="16.5">
      <c r="A43" s="50" t="s">
        <v>105</v>
      </c>
      <c r="B43" s="51" t="s">
        <v>209</v>
      </c>
      <c r="C43" s="52" t="s">
        <v>210</v>
      </c>
      <c r="D43" s="50" t="s">
        <v>11</v>
      </c>
      <c r="E43" s="53" t="s">
        <v>11</v>
      </c>
      <c r="F43" s="53" t="s">
        <v>177</v>
      </c>
      <c r="G43" s="54">
        <v>259</v>
      </c>
      <c r="H43" s="55" t="s">
        <v>121</v>
      </c>
      <c r="I43" s="55" t="s">
        <v>113</v>
      </c>
      <c r="J43" s="55" t="s">
        <v>324</v>
      </c>
      <c r="K43" s="57">
        <v>2072.9392857142798</v>
      </c>
      <c r="L43" s="57">
        <v>2638.8517107142802</v>
      </c>
      <c r="M43" s="57">
        <f t="shared" si="2"/>
        <v>2506.9091251785662</v>
      </c>
      <c r="N43" s="57">
        <v>2487.52714285714</v>
      </c>
      <c r="O43" s="58">
        <v>2072.9392857142798</v>
      </c>
      <c r="P43" s="58">
        <v>245.357142857143</v>
      </c>
      <c r="Q43" s="55">
        <f t="shared" si="0"/>
        <v>1717.5000000000009</v>
      </c>
      <c r="R43" s="45">
        <v>45132</v>
      </c>
    </row>
    <row r="44" spans="1:18" ht="16.5">
      <c r="A44" s="50" t="s">
        <v>105</v>
      </c>
      <c r="B44" s="51" t="s">
        <v>238</v>
      </c>
      <c r="C44" s="52" t="s">
        <v>239</v>
      </c>
      <c r="D44" s="50" t="s">
        <v>20</v>
      </c>
      <c r="E44" s="53" t="s">
        <v>20</v>
      </c>
      <c r="F44" s="53" t="s">
        <v>108</v>
      </c>
      <c r="G44" s="54">
        <v>390</v>
      </c>
      <c r="H44" s="55" t="s">
        <v>109</v>
      </c>
      <c r="I44" s="55" t="s">
        <v>113</v>
      </c>
      <c r="J44" s="55" t="s">
        <v>325</v>
      </c>
      <c r="K44" s="57">
        <v>3099.6007142857002</v>
      </c>
      <c r="L44" s="57">
        <v>3945.7917092857001</v>
      </c>
      <c r="M44" s="57">
        <f t="shared" si="2"/>
        <v>3748.5021238214149</v>
      </c>
      <c r="N44" s="57">
        <v>3719.5208571428402</v>
      </c>
      <c r="O44" s="58">
        <v>3099.6007142857002</v>
      </c>
      <c r="P44" s="58">
        <v>361.357142857143</v>
      </c>
      <c r="Q44" s="55">
        <f t="shared" si="0"/>
        <v>2529.5000000000009</v>
      </c>
      <c r="R44" s="45">
        <v>45132</v>
      </c>
    </row>
    <row r="45" spans="1:18" ht="16.5">
      <c r="A45" s="50" t="s">
        <v>105</v>
      </c>
      <c r="B45" s="50" t="s">
        <v>143</v>
      </c>
      <c r="C45" s="52" t="s">
        <v>144</v>
      </c>
      <c r="D45" s="50" t="s">
        <v>20</v>
      </c>
      <c r="E45" s="53" t="s">
        <v>20</v>
      </c>
      <c r="F45" s="53" t="s">
        <v>108</v>
      </c>
      <c r="G45" s="54">
        <v>377.093277</v>
      </c>
      <c r="H45" s="55" t="s">
        <v>109</v>
      </c>
      <c r="I45" s="55" t="s">
        <v>113</v>
      </c>
      <c r="J45" s="55" t="s">
        <v>325</v>
      </c>
      <c r="K45" s="57">
        <v>4071.8121428571199</v>
      </c>
      <c r="L45" s="57">
        <v>5183.4168578571098</v>
      </c>
      <c r="M45" s="57">
        <f t="shared" si="2"/>
        <v>4924.2460149642538</v>
      </c>
      <c r="N45" s="57">
        <v>4886.1745714285398</v>
      </c>
      <c r="O45" s="58">
        <v>4071.8121428571199</v>
      </c>
      <c r="P45" s="58">
        <v>483.07142857142901</v>
      </c>
      <c r="Q45" s="55">
        <f t="shared" si="0"/>
        <v>3381.5000000000032</v>
      </c>
      <c r="R45" s="45">
        <v>45132</v>
      </c>
    </row>
    <row r="46" spans="1:18" ht="16.5">
      <c r="A46" s="50" t="s">
        <v>105</v>
      </c>
      <c r="B46" s="50" t="s">
        <v>126</v>
      </c>
      <c r="C46" s="52" t="s">
        <v>127</v>
      </c>
      <c r="D46" s="50" t="s">
        <v>20</v>
      </c>
      <c r="E46" s="53" t="s">
        <v>20</v>
      </c>
      <c r="F46" s="53" t="s">
        <v>108</v>
      </c>
      <c r="G46" s="54">
        <v>390.09969699999903</v>
      </c>
      <c r="H46" s="55" t="s">
        <v>116</v>
      </c>
      <c r="I46" s="55" t="s">
        <v>128</v>
      </c>
      <c r="J46" s="55" t="s">
        <v>325</v>
      </c>
      <c r="K46" s="57">
        <v>7569.99071428566</v>
      </c>
      <c r="L46" s="57">
        <v>9636.5981792856492</v>
      </c>
      <c r="M46" s="57">
        <f t="shared" si="2"/>
        <v>9154.7682703213668</v>
      </c>
      <c r="N46" s="57">
        <v>9083.9888571428</v>
      </c>
      <c r="O46" s="58">
        <v>7569.99071428566</v>
      </c>
      <c r="P46" s="58">
        <v>900.92857142857099</v>
      </c>
      <c r="Q46" s="55">
        <f t="shared" si="0"/>
        <v>6306.4999999999973</v>
      </c>
      <c r="R46" s="45">
        <v>45132</v>
      </c>
    </row>
    <row r="47" spans="1:18" ht="16.5">
      <c r="A47" s="50" t="s">
        <v>105</v>
      </c>
      <c r="B47" s="50" t="s">
        <v>106</v>
      </c>
      <c r="C47" s="52" t="s">
        <v>107</v>
      </c>
      <c r="D47" s="50" t="s">
        <v>20</v>
      </c>
      <c r="E47" s="53" t="s">
        <v>20</v>
      </c>
      <c r="F47" s="53" t="s">
        <v>108</v>
      </c>
      <c r="G47" s="54">
        <v>325.16000000000003</v>
      </c>
      <c r="H47" s="55" t="s">
        <v>109</v>
      </c>
      <c r="I47" s="55" t="s">
        <v>113</v>
      </c>
      <c r="J47" s="55" t="s">
        <v>325</v>
      </c>
      <c r="K47" s="57">
        <v>2753.7223076923001</v>
      </c>
      <c r="L47" s="57">
        <v>3505.4884976922999</v>
      </c>
      <c r="M47" s="57">
        <f t="shared" si="2"/>
        <v>3330.2140728076847</v>
      </c>
      <c r="N47" s="57">
        <v>3304.4667692307598</v>
      </c>
      <c r="O47" s="58">
        <v>2753.7223076923001</v>
      </c>
      <c r="P47" s="58">
        <v>339.30769230769198</v>
      </c>
      <c r="Q47" s="55">
        <f t="shared" si="0"/>
        <v>2375.1538461538439</v>
      </c>
      <c r="R47" s="45">
        <v>45132</v>
      </c>
    </row>
    <row r="48" spans="1:18" ht="16.5">
      <c r="A48" s="50" t="s">
        <v>105</v>
      </c>
      <c r="B48" s="51" t="s">
        <v>167</v>
      </c>
      <c r="C48" s="52" t="s">
        <v>168</v>
      </c>
      <c r="D48" s="50" t="s">
        <v>20</v>
      </c>
      <c r="E48" s="53" t="s">
        <v>20</v>
      </c>
      <c r="F48" s="53" t="s">
        <v>169</v>
      </c>
      <c r="G48" s="54">
        <v>337.15</v>
      </c>
      <c r="H48" s="55" t="s">
        <v>116</v>
      </c>
      <c r="I48" s="55" t="s">
        <v>295</v>
      </c>
      <c r="J48" s="55" t="s">
        <v>325</v>
      </c>
      <c r="K48" s="57">
        <v>10622.007142857099</v>
      </c>
      <c r="L48" s="57">
        <v>13521.815092856999</v>
      </c>
      <c r="M48" s="57">
        <f t="shared" si="2"/>
        <v>12845.72433821415</v>
      </c>
      <c r="N48" s="57">
        <v>12746.408571428499</v>
      </c>
      <c r="O48" s="58">
        <v>10622.007142857099</v>
      </c>
      <c r="P48" s="58">
        <v>1138.57142857143</v>
      </c>
      <c r="Q48" s="55">
        <f t="shared" si="0"/>
        <v>7970.00000000001</v>
      </c>
      <c r="R48" s="45">
        <v>45132</v>
      </c>
    </row>
    <row r="49" spans="1:18" ht="16.5">
      <c r="A49" s="50" t="s">
        <v>105</v>
      </c>
      <c r="B49" s="50" t="s">
        <v>117</v>
      </c>
      <c r="C49" s="52" t="s">
        <v>118</v>
      </c>
      <c r="D49" s="50" t="s">
        <v>20</v>
      </c>
      <c r="E49" s="53" t="s">
        <v>20</v>
      </c>
      <c r="F49" s="53" t="s">
        <v>108</v>
      </c>
      <c r="G49" s="54">
        <v>207.266682199999</v>
      </c>
      <c r="H49" s="55" t="s">
        <v>109</v>
      </c>
      <c r="I49" s="55" t="s">
        <v>113</v>
      </c>
      <c r="J49" s="55" t="s">
        <v>325</v>
      </c>
      <c r="K49" s="57">
        <v>2665.7185714285702</v>
      </c>
      <c r="L49" s="57">
        <v>3393.4597414285599</v>
      </c>
      <c r="M49" s="57">
        <f t="shared" si="2"/>
        <v>3223.7867543571319</v>
      </c>
      <c r="N49" s="57">
        <v>3198.86228571428</v>
      </c>
      <c r="O49" s="58">
        <v>2665.7185714285702</v>
      </c>
      <c r="P49" s="58">
        <v>313.857142857143</v>
      </c>
      <c r="Q49" s="55">
        <f t="shared" si="0"/>
        <v>2197.0000000000009</v>
      </c>
      <c r="R49" s="45">
        <v>45132</v>
      </c>
    </row>
    <row r="50" spans="1:18" ht="16.5">
      <c r="A50" s="50" t="s">
        <v>105</v>
      </c>
      <c r="B50" s="51" t="s">
        <v>183</v>
      </c>
      <c r="C50" s="52" t="s">
        <v>184</v>
      </c>
      <c r="D50" s="50" t="s">
        <v>20</v>
      </c>
      <c r="E50" s="53" t="s">
        <v>20</v>
      </c>
      <c r="F50" s="53" t="s">
        <v>108</v>
      </c>
      <c r="G50" s="54">
        <v>378</v>
      </c>
      <c r="H50" s="55" t="s">
        <v>109</v>
      </c>
      <c r="I50" s="55" t="s">
        <v>113</v>
      </c>
      <c r="J50" s="55" t="s">
        <v>325</v>
      </c>
      <c r="K50" s="57">
        <v>3555.1778571428499</v>
      </c>
      <c r="L50" s="57">
        <v>4525.7414121428401</v>
      </c>
      <c r="M50" s="57">
        <f t="shared" si="2"/>
        <v>4299.4543415356975</v>
      </c>
      <c r="N50" s="57">
        <v>4266.2134285714201</v>
      </c>
      <c r="O50" s="58">
        <v>3555.1778571428499</v>
      </c>
      <c r="P50" s="58">
        <v>385.78571428571399</v>
      </c>
      <c r="Q50" s="55">
        <f t="shared" si="0"/>
        <v>2700.4999999999982</v>
      </c>
      <c r="R50" s="45">
        <v>45132</v>
      </c>
    </row>
    <row r="51" spans="1:18" ht="16.5">
      <c r="A51" s="50" t="s">
        <v>105</v>
      </c>
      <c r="B51" s="51" t="s">
        <v>252</v>
      </c>
      <c r="C51" s="52" t="s">
        <v>253</v>
      </c>
      <c r="D51" s="50" t="s">
        <v>231</v>
      </c>
      <c r="E51" s="53" t="s">
        <v>18</v>
      </c>
      <c r="F51" s="53" t="s">
        <v>18</v>
      </c>
      <c r="G51" s="54">
        <v>435.15765199999998</v>
      </c>
      <c r="H51" s="55" t="s">
        <v>116</v>
      </c>
      <c r="I51" s="55" t="s">
        <v>110</v>
      </c>
      <c r="J51" s="55" t="s">
        <v>324</v>
      </c>
      <c r="K51" s="57">
        <v>4141.9742857142601</v>
      </c>
      <c r="L51" s="57">
        <v>5272.7332657142597</v>
      </c>
      <c r="M51" s="57">
        <f t="shared" si="2"/>
        <v>5009.0966024285462</v>
      </c>
      <c r="N51" s="57">
        <v>4970.3691428571101</v>
      </c>
      <c r="O51" s="58">
        <v>4141.9742857142601</v>
      </c>
      <c r="P51" s="58">
        <v>470.42857142857099</v>
      </c>
      <c r="Q51" s="55">
        <f t="shared" si="0"/>
        <v>3292.9999999999968</v>
      </c>
      <c r="R51" s="45">
        <v>45132</v>
      </c>
    </row>
    <row r="52" spans="1:18" ht="16.5">
      <c r="A52" s="50" t="s">
        <v>105</v>
      </c>
      <c r="B52" s="51" t="s">
        <v>162</v>
      </c>
      <c r="C52" s="52" t="s">
        <v>163</v>
      </c>
      <c r="D52" s="50" t="s">
        <v>20</v>
      </c>
      <c r="E52" s="53" t="s">
        <v>20</v>
      </c>
      <c r="F52" s="53" t="s">
        <v>108</v>
      </c>
      <c r="G52" s="54">
        <v>345</v>
      </c>
      <c r="H52" s="55" t="s">
        <v>121</v>
      </c>
      <c r="I52" s="55" t="s">
        <v>110</v>
      </c>
      <c r="J52" s="55" t="s">
        <v>325</v>
      </c>
      <c r="K52" s="57">
        <v>1996.1128571428601</v>
      </c>
      <c r="L52" s="57">
        <v>2541.05166714285</v>
      </c>
      <c r="M52" s="57">
        <f t="shared" si="2"/>
        <v>2413.9990837857072</v>
      </c>
      <c r="N52" s="57">
        <v>2395.3354285714299</v>
      </c>
      <c r="O52" s="58">
        <v>1996.1128571428601</v>
      </c>
      <c r="P52" s="58">
        <v>231.57142857142901</v>
      </c>
      <c r="Q52" s="55">
        <f t="shared" si="0"/>
        <v>1621.0000000000032</v>
      </c>
      <c r="R52" s="45">
        <v>45132</v>
      </c>
    </row>
    <row r="53" spans="1:18" ht="16.5">
      <c r="A53" s="50" t="s">
        <v>105</v>
      </c>
      <c r="B53" s="51" t="s">
        <v>170</v>
      </c>
      <c r="C53" s="52" t="s">
        <v>171</v>
      </c>
      <c r="D53" s="50" t="s">
        <v>20</v>
      </c>
      <c r="E53" s="53" t="s">
        <v>20</v>
      </c>
      <c r="F53" s="53" t="s">
        <v>108</v>
      </c>
      <c r="G53" s="54">
        <v>252</v>
      </c>
      <c r="H53" s="55" t="s">
        <v>109</v>
      </c>
      <c r="I53" s="55" t="s">
        <v>110</v>
      </c>
      <c r="J53" s="55" t="s">
        <v>325</v>
      </c>
      <c r="K53" s="57">
        <v>3269.36428571427</v>
      </c>
      <c r="L53" s="57">
        <v>4161.90073571427</v>
      </c>
      <c r="M53" s="57">
        <f t="shared" si="2"/>
        <v>3953.8056989285565</v>
      </c>
      <c r="N53" s="57">
        <v>3923.23714285713</v>
      </c>
      <c r="O53" s="58">
        <v>3269.36428571427</v>
      </c>
      <c r="P53" s="58">
        <v>367.142857142857</v>
      </c>
      <c r="Q53" s="55">
        <f t="shared" si="0"/>
        <v>2569.9999999999991</v>
      </c>
      <c r="R53" s="45">
        <v>45132</v>
      </c>
    </row>
    <row r="54" spans="1:18" ht="16.5">
      <c r="A54" s="50" t="s">
        <v>105</v>
      </c>
      <c r="B54" s="51" t="s">
        <v>240</v>
      </c>
      <c r="C54" s="52" t="s">
        <v>241</v>
      </c>
      <c r="D54" s="50" t="s">
        <v>20</v>
      </c>
      <c r="E54" s="53" t="s">
        <v>20</v>
      </c>
      <c r="F54" s="53" t="s">
        <v>108</v>
      </c>
      <c r="G54" s="54">
        <v>309</v>
      </c>
      <c r="H54" s="55" t="s">
        <v>109</v>
      </c>
      <c r="I54" s="55" t="s">
        <v>113</v>
      </c>
      <c r="J54" s="55" t="s">
        <v>325</v>
      </c>
      <c r="K54" s="57">
        <v>3864.3592857142698</v>
      </c>
      <c r="L54" s="57">
        <v>4919.3293707142602</v>
      </c>
      <c r="M54" s="57">
        <f t="shared" si="2"/>
        <v>4673.3629021785473</v>
      </c>
      <c r="N54" s="57">
        <v>4637.2311428571202</v>
      </c>
      <c r="O54" s="58">
        <v>3864.3592857142698</v>
      </c>
      <c r="P54" s="58">
        <v>439.07142857142901</v>
      </c>
      <c r="Q54" s="55">
        <f t="shared" si="0"/>
        <v>3073.5000000000032</v>
      </c>
      <c r="R54" s="45">
        <v>45132</v>
      </c>
    </row>
    <row r="55" spans="1:18" ht="16.5">
      <c r="A55" s="50" t="s">
        <v>105</v>
      </c>
      <c r="B55" s="50" t="s">
        <v>114</v>
      </c>
      <c r="C55" s="52" t="s">
        <v>115</v>
      </c>
      <c r="D55" s="50" t="s">
        <v>20</v>
      </c>
      <c r="E55" s="53" t="s">
        <v>20</v>
      </c>
      <c r="F55" s="53" t="s">
        <v>108</v>
      </c>
      <c r="G55" s="54">
        <v>303.7929408</v>
      </c>
      <c r="H55" s="55" t="s">
        <v>116</v>
      </c>
      <c r="I55" s="55" t="s">
        <v>295</v>
      </c>
      <c r="J55" s="55" t="s">
        <v>325</v>
      </c>
      <c r="K55" s="57">
        <v>5869.7299999999595</v>
      </c>
      <c r="L55" s="57">
        <v>7472.1662899999501</v>
      </c>
      <c r="M55" s="57">
        <f t="shared" si="2"/>
        <v>7098.5579754999526</v>
      </c>
      <c r="N55" s="57">
        <v>7043.6759999999504</v>
      </c>
      <c r="O55" s="58">
        <v>5869.7299999999595</v>
      </c>
      <c r="P55" s="58">
        <v>637.71428571428601</v>
      </c>
      <c r="Q55" s="55">
        <f t="shared" si="0"/>
        <v>4464.0000000000018</v>
      </c>
      <c r="R55" s="45">
        <v>45132</v>
      </c>
    </row>
    <row r="56" spans="1:18" ht="16.5">
      <c r="A56" s="50" t="s">
        <v>105</v>
      </c>
      <c r="B56" s="51" t="s">
        <v>258</v>
      </c>
      <c r="C56" s="52" t="s">
        <v>259</v>
      </c>
      <c r="D56" s="50" t="s">
        <v>11</v>
      </c>
      <c r="E56" s="53" t="s">
        <v>17</v>
      </c>
      <c r="F56" s="53" t="s">
        <v>17</v>
      </c>
      <c r="G56" s="54">
        <v>280.10254500000002</v>
      </c>
      <c r="H56" s="55" t="s">
        <v>109</v>
      </c>
      <c r="I56" s="55" t="s">
        <v>110</v>
      </c>
      <c r="J56" s="55" t="s">
        <v>324</v>
      </c>
      <c r="K56" s="57">
        <v>2751.14857142856</v>
      </c>
      <c r="L56" s="57">
        <v>3502.21213142856</v>
      </c>
      <c r="M56" s="57">
        <f t="shared" si="2"/>
        <v>3327.1015248571321</v>
      </c>
      <c r="N56" s="57">
        <v>3301.3782857142801</v>
      </c>
      <c r="O56" s="58">
        <v>2751.14857142856</v>
      </c>
      <c r="P56" s="58">
        <v>310.142857142857</v>
      </c>
      <c r="Q56" s="55">
        <f t="shared" si="0"/>
        <v>2170.9999999999991</v>
      </c>
      <c r="R56" s="45">
        <v>45132</v>
      </c>
    </row>
    <row r="57" spans="1:18" ht="16.5">
      <c r="A57" s="50" t="s">
        <v>105</v>
      </c>
      <c r="B57" s="50" t="s">
        <v>139</v>
      </c>
      <c r="C57" s="52" t="s">
        <v>140</v>
      </c>
      <c r="D57" s="50" t="s">
        <v>20</v>
      </c>
      <c r="E57" s="53" t="s">
        <v>20</v>
      </c>
      <c r="F57" s="53" t="s">
        <v>108</v>
      </c>
      <c r="G57" s="54">
        <v>292.64445000000001</v>
      </c>
      <c r="H57" s="55" t="s">
        <v>116</v>
      </c>
      <c r="I57" s="55" t="s">
        <v>295</v>
      </c>
      <c r="J57" s="55" t="s">
        <v>325</v>
      </c>
      <c r="K57" s="57">
        <v>8647.9349999999304</v>
      </c>
      <c r="L57" s="57">
        <v>11008.821254999901</v>
      </c>
      <c r="M57" s="57">
        <f t="shared" si="2"/>
        <v>10458.380192249906</v>
      </c>
      <c r="N57" s="57">
        <v>10377.521999999901</v>
      </c>
      <c r="O57" s="58">
        <v>8647.9349999999304</v>
      </c>
      <c r="P57" s="58">
        <v>981.5</v>
      </c>
      <c r="Q57" s="55">
        <f t="shared" si="0"/>
        <v>6870.5</v>
      </c>
      <c r="R57" s="45">
        <v>45132</v>
      </c>
    </row>
    <row r="58" spans="1:18" ht="16.5">
      <c r="A58" s="50" t="s">
        <v>105</v>
      </c>
      <c r="B58" s="51" t="s">
        <v>200</v>
      </c>
      <c r="C58" s="52" t="s">
        <v>201</v>
      </c>
      <c r="D58" s="50" t="s">
        <v>11</v>
      </c>
      <c r="E58" s="53" t="s">
        <v>11</v>
      </c>
      <c r="F58" s="53" t="s">
        <v>182</v>
      </c>
      <c r="G58" s="54">
        <v>423</v>
      </c>
      <c r="H58" s="55" t="s">
        <v>121</v>
      </c>
      <c r="I58" s="55" t="s">
        <v>110</v>
      </c>
      <c r="J58" s="55" t="s">
        <v>324</v>
      </c>
      <c r="K58" s="57">
        <v>1705.56785714286</v>
      </c>
      <c r="L58" s="57">
        <v>2171.18788214285</v>
      </c>
      <c r="M58" s="57">
        <f t="shared" si="2"/>
        <v>2062.6284880357075</v>
      </c>
      <c r="N58" s="57">
        <v>2046.6814285714299</v>
      </c>
      <c r="O58" s="58">
        <v>1705.56785714286</v>
      </c>
      <c r="P58" s="58">
        <v>207.5</v>
      </c>
      <c r="Q58" s="55">
        <f t="shared" si="0"/>
        <v>1452.5</v>
      </c>
      <c r="R58" s="45">
        <v>45132</v>
      </c>
    </row>
    <row r="59" spans="1:18" ht="16.5">
      <c r="A59" s="50" t="s">
        <v>105</v>
      </c>
      <c r="B59" s="50" t="s">
        <v>154</v>
      </c>
      <c r="C59" s="52" t="s">
        <v>155</v>
      </c>
      <c r="D59" s="50" t="s">
        <v>20</v>
      </c>
      <c r="E59" s="53" t="s">
        <v>20</v>
      </c>
      <c r="F59" s="53" t="s">
        <v>108</v>
      </c>
      <c r="G59" s="54">
        <v>320</v>
      </c>
      <c r="H59" s="55" t="s">
        <v>109</v>
      </c>
      <c r="I59" s="55" t="s">
        <v>128</v>
      </c>
      <c r="J59" s="55" t="s">
        <v>325</v>
      </c>
      <c r="K59" s="57">
        <v>2746.9378571428501</v>
      </c>
      <c r="L59" s="57">
        <v>3496.8518921428499</v>
      </c>
      <c r="M59" s="57">
        <f t="shared" si="2"/>
        <v>3322.0092975357074</v>
      </c>
      <c r="N59" s="57">
        <v>3296.3254285714202</v>
      </c>
      <c r="O59" s="58">
        <v>2746.9378571428501</v>
      </c>
      <c r="P59" s="58">
        <v>334.78571428571399</v>
      </c>
      <c r="Q59" s="55">
        <f t="shared" si="0"/>
        <v>2343.4999999999982</v>
      </c>
      <c r="R59" s="45">
        <v>45132</v>
      </c>
    </row>
    <row r="60" spans="1:18" ht="16.5">
      <c r="A60" s="50" t="s">
        <v>105</v>
      </c>
      <c r="B60" s="51" t="s">
        <v>224</v>
      </c>
      <c r="C60" s="52" t="s">
        <v>225</v>
      </c>
      <c r="D60" s="50" t="s">
        <v>20</v>
      </c>
      <c r="E60" s="53" t="s">
        <v>20</v>
      </c>
      <c r="F60" s="53" t="s">
        <v>108</v>
      </c>
      <c r="G60" s="54">
        <v>495</v>
      </c>
      <c r="H60" s="55" t="s">
        <v>109</v>
      </c>
      <c r="I60" s="55" t="s">
        <v>128</v>
      </c>
      <c r="J60" s="55" t="s">
        <v>325</v>
      </c>
      <c r="K60" s="57">
        <v>4138.9278571428404</v>
      </c>
      <c r="L60" s="57">
        <v>5268.8551621428296</v>
      </c>
      <c r="M60" s="57">
        <f t="shared" si="2"/>
        <v>5005.4124040356883</v>
      </c>
      <c r="N60" s="57">
        <v>4966.7134285714001</v>
      </c>
      <c r="O60" s="58">
        <v>4138.9278571428404</v>
      </c>
      <c r="P60" s="58">
        <v>471.5</v>
      </c>
      <c r="Q60" s="55">
        <f t="shared" si="0"/>
        <v>3300.5</v>
      </c>
      <c r="R60" s="45">
        <v>45132</v>
      </c>
    </row>
    <row r="61" spans="1:18" ht="16.5">
      <c r="A61" s="50" t="s">
        <v>105</v>
      </c>
      <c r="B61" s="51" t="s">
        <v>164</v>
      </c>
      <c r="C61" s="52" t="s">
        <v>165</v>
      </c>
      <c r="D61" s="50" t="s">
        <v>11</v>
      </c>
      <c r="E61" s="53" t="s">
        <v>17</v>
      </c>
      <c r="F61" s="53" t="s">
        <v>17</v>
      </c>
      <c r="G61" s="54">
        <v>367</v>
      </c>
      <c r="H61" s="55" t="s">
        <v>121</v>
      </c>
      <c r="I61" s="55" t="s">
        <v>110</v>
      </c>
      <c r="J61" s="55" t="s">
        <v>324</v>
      </c>
      <c r="K61" s="57">
        <v>3297.5857142856999</v>
      </c>
      <c r="L61" s="57">
        <v>4197.8266142857001</v>
      </c>
      <c r="M61" s="57">
        <f t="shared" si="2"/>
        <v>3987.9352835714149</v>
      </c>
      <c r="N61" s="57">
        <v>3957.1028571428401</v>
      </c>
      <c r="O61" s="58">
        <v>3297.5857142856999</v>
      </c>
      <c r="P61" s="58">
        <v>348.57142857142901</v>
      </c>
      <c r="Q61" s="55">
        <f t="shared" si="0"/>
        <v>2440.0000000000032</v>
      </c>
      <c r="R61" s="45">
        <v>45132</v>
      </c>
    </row>
    <row r="62" spans="1:18" ht="16.5">
      <c r="A62" s="50" t="s">
        <v>105</v>
      </c>
      <c r="B62" s="51" t="s">
        <v>236</v>
      </c>
      <c r="C62" s="52" t="s">
        <v>237</v>
      </c>
      <c r="D62" s="50" t="s">
        <v>20</v>
      </c>
      <c r="E62" s="53" t="s">
        <v>20</v>
      </c>
      <c r="F62" s="53" t="s">
        <v>108</v>
      </c>
      <c r="G62" s="54">
        <v>357</v>
      </c>
      <c r="H62" s="55" t="s">
        <v>116</v>
      </c>
      <c r="I62" s="55" t="s">
        <v>128</v>
      </c>
      <c r="J62" s="55" t="s">
        <v>325</v>
      </c>
      <c r="K62" s="57">
        <v>5746.8849999999602</v>
      </c>
      <c r="L62" s="57">
        <v>7315.7846049999498</v>
      </c>
      <c r="M62" s="57">
        <f t="shared" si="2"/>
        <v>6949.9953747499521</v>
      </c>
      <c r="N62" s="57">
        <v>6896.2619999999597</v>
      </c>
      <c r="O62" s="58">
        <v>5746.8849999999602</v>
      </c>
      <c r="P62" s="58">
        <v>654.357142857143</v>
      </c>
      <c r="Q62" s="55">
        <f t="shared" si="0"/>
        <v>4580.5000000000009</v>
      </c>
      <c r="R62" s="45">
        <v>45132</v>
      </c>
    </row>
    <row r="63" spans="1:18" ht="16.5">
      <c r="A63" s="50" t="s">
        <v>105</v>
      </c>
      <c r="B63" s="50" t="s">
        <v>141</v>
      </c>
      <c r="C63" s="52" t="s">
        <v>142</v>
      </c>
      <c r="D63" s="50" t="s">
        <v>20</v>
      </c>
      <c r="E63" s="53" t="s">
        <v>20</v>
      </c>
      <c r="F63" s="53" t="s">
        <v>108</v>
      </c>
      <c r="G63" s="54">
        <v>303.421198</v>
      </c>
      <c r="H63" s="55" t="s">
        <v>116</v>
      </c>
      <c r="I63" s="55" t="s">
        <v>110</v>
      </c>
      <c r="J63" s="55" t="s">
        <v>325</v>
      </c>
      <c r="K63" s="57">
        <v>6815.8592857142403</v>
      </c>
      <c r="L63" s="57">
        <v>8676.5888707142294</v>
      </c>
      <c r="M63" s="57">
        <f t="shared" si="2"/>
        <v>8242.7594271785183</v>
      </c>
      <c r="N63" s="57">
        <v>8179.0311428570903</v>
      </c>
      <c r="O63" s="58">
        <v>6815.8592857142403</v>
      </c>
      <c r="P63" s="58">
        <v>764.07142857142901</v>
      </c>
      <c r="Q63" s="55">
        <f t="shared" si="0"/>
        <v>5348.5000000000027</v>
      </c>
      <c r="R63" s="45">
        <v>45132</v>
      </c>
    </row>
    <row r="64" spans="1:18" ht="16.5">
      <c r="A64" s="50" t="s">
        <v>105</v>
      </c>
      <c r="B64" s="51" t="s">
        <v>185</v>
      </c>
      <c r="C64" s="52" t="s">
        <v>186</v>
      </c>
      <c r="D64" s="50" t="s">
        <v>20</v>
      </c>
      <c r="E64" s="53" t="s">
        <v>20</v>
      </c>
      <c r="F64" s="53" t="s">
        <v>108</v>
      </c>
      <c r="G64" s="54">
        <v>371</v>
      </c>
      <c r="H64" s="55" t="s">
        <v>116</v>
      </c>
      <c r="I64" s="55" t="s">
        <v>295</v>
      </c>
      <c r="J64" s="55" t="s">
        <v>325</v>
      </c>
      <c r="K64" s="57">
        <v>10067.5999999999</v>
      </c>
      <c r="L64" s="57">
        <v>12816.0547999999</v>
      </c>
      <c r="M64" s="57">
        <f t="shared" si="2"/>
        <v>12175.252059999904</v>
      </c>
      <c r="N64" s="57">
        <v>12081.119999999901</v>
      </c>
      <c r="O64" s="58">
        <v>10067.5999999999</v>
      </c>
      <c r="P64" s="58">
        <v>1143.57142857143</v>
      </c>
      <c r="Q64" s="55">
        <f t="shared" si="0"/>
        <v>8005.00000000001</v>
      </c>
      <c r="R64" s="45">
        <v>45132</v>
      </c>
    </row>
    <row r="65" spans="1:18" ht="16.5">
      <c r="A65" s="50" t="s">
        <v>105</v>
      </c>
      <c r="B65" s="51" t="s">
        <v>215</v>
      </c>
      <c r="C65" s="52" t="s">
        <v>216</v>
      </c>
      <c r="D65" s="50" t="s">
        <v>11</v>
      </c>
      <c r="E65" s="53" t="s">
        <v>11</v>
      </c>
      <c r="F65" s="53" t="s">
        <v>182</v>
      </c>
      <c r="G65" s="54">
        <v>313</v>
      </c>
      <c r="H65" s="55" t="s">
        <v>116</v>
      </c>
      <c r="I65" s="55" t="s">
        <v>110</v>
      </c>
      <c r="J65" s="55" t="s">
        <v>324</v>
      </c>
      <c r="K65" s="57">
        <v>9193.4414285713592</v>
      </c>
      <c r="L65" s="57">
        <v>11703.2509385713</v>
      </c>
      <c r="M65" s="57">
        <f t="shared" si="2"/>
        <v>11118.088391642734</v>
      </c>
      <c r="N65" s="57">
        <v>11032.1297142856</v>
      </c>
      <c r="O65" s="58">
        <v>9193.4414285713592</v>
      </c>
      <c r="P65" s="58">
        <v>1124.1428571428601</v>
      </c>
      <c r="Q65" s="55">
        <f t="shared" si="0"/>
        <v>7869.00000000002</v>
      </c>
      <c r="R65" s="45">
        <v>45132</v>
      </c>
    </row>
    <row r="66" spans="1:18" ht="16.5">
      <c r="A66" s="50" t="s">
        <v>105</v>
      </c>
      <c r="B66" s="51" t="s">
        <v>217</v>
      </c>
      <c r="C66" s="52" t="s">
        <v>218</v>
      </c>
      <c r="D66" s="50" t="s">
        <v>11</v>
      </c>
      <c r="E66" s="53" t="s">
        <v>11</v>
      </c>
      <c r="F66" s="53" t="s">
        <v>182</v>
      </c>
      <c r="G66" s="54">
        <v>443</v>
      </c>
      <c r="H66" s="55" t="s">
        <v>116</v>
      </c>
      <c r="I66" s="55" t="s">
        <v>295</v>
      </c>
      <c r="J66" s="55" t="s">
        <v>324</v>
      </c>
      <c r="K66" s="57">
        <v>14617.7807142856</v>
      </c>
      <c r="L66" s="57">
        <v>18608.434849285601</v>
      </c>
      <c r="M66" s="57">
        <f t="shared" si="2"/>
        <v>17678.01310682132</v>
      </c>
      <c r="N66" s="57">
        <v>17541.3368571428</v>
      </c>
      <c r="O66" s="58">
        <v>14617.7807142856</v>
      </c>
      <c r="P66" s="58">
        <v>1743.2857142857099</v>
      </c>
      <c r="Q66" s="55">
        <f t="shared" si="0"/>
        <v>12202.999999999969</v>
      </c>
      <c r="R66" s="45">
        <v>45132</v>
      </c>
    </row>
    <row r="67" spans="1:18" ht="16.5">
      <c r="A67" s="50" t="s">
        <v>105</v>
      </c>
      <c r="B67" s="51" t="s">
        <v>158</v>
      </c>
      <c r="C67" s="52" t="s">
        <v>159</v>
      </c>
      <c r="D67" s="50" t="s">
        <v>20</v>
      </c>
      <c r="E67" s="53" t="s">
        <v>20</v>
      </c>
      <c r="F67" s="53" t="s">
        <v>108</v>
      </c>
      <c r="G67" s="54">
        <v>311</v>
      </c>
      <c r="H67" s="55" t="s">
        <v>109</v>
      </c>
      <c r="I67" s="55" t="s">
        <v>110</v>
      </c>
      <c r="J67" s="55" t="s">
        <v>325</v>
      </c>
      <c r="K67" s="57">
        <v>2966.4049999999902</v>
      </c>
      <c r="L67" s="57">
        <v>3776.23356499999</v>
      </c>
      <c r="M67" s="57">
        <f t="shared" si="2"/>
        <v>3587.4218867499903</v>
      </c>
      <c r="N67" s="57">
        <v>3559.6859999999901</v>
      </c>
      <c r="O67" s="58">
        <v>2966.4049999999902</v>
      </c>
      <c r="P67" s="58">
        <v>345.21428571428601</v>
      </c>
      <c r="Q67" s="55">
        <f t="shared" ref="Q67:Q94" si="3">P67*7</f>
        <v>2416.5000000000018</v>
      </c>
      <c r="R67" s="45">
        <v>45132</v>
      </c>
    </row>
    <row r="68" spans="1:18" ht="16.5">
      <c r="A68" s="50" t="s">
        <v>105</v>
      </c>
      <c r="B68" s="51" t="s">
        <v>190</v>
      </c>
      <c r="C68" s="52" t="s">
        <v>191</v>
      </c>
      <c r="D68" s="50" t="s">
        <v>20</v>
      </c>
      <c r="E68" s="53" t="s">
        <v>20</v>
      </c>
      <c r="F68" s="53" t="s">
        <v>108</v>
      </c>
      <c r="G68" s="54">
        <v>198</v>
      </c>
      <c r="H68" s="55" t="s">
        <v>109</v>
      </c>
      <c r="I68" s="55" t="s">
        <v>113</v>
      </c>
      <c r="J68" s="55" t="s">
        <v>325</v>
      </c>
      <c r="K68" s="57">
        <v>4388.71928571426</v>
      </c>
      <c r="L68" s="57">
        <v>5586.8396507142597</v>
      </c>
      <c r="M68" s="57">
        <f t="shared" si="2"/>
        <v>5307.4976681785465</v>
      </c>
      <c r="N68" s="57">
        <v>5266.4631428571201</v>
      </c>
      <c r="O68" s="58">
        <v>4388.71928571426</v>
      </c>
      <c r="P68" s="58">
        <v>488.78571428571399</v>
      </c>
      <c r="Q68" s="55">
        <f t="shared" si="3"/>
        <v>3421.4999999999982</v>
      </c>
      <c r="R68" s="45">
        <v>45132</v>
      </c>
    </row>
    <row r="69" spans="1:18" ht="16.5">
      <c r="A69" s="50" t="s">
        <v>105</v>
      </c>
      <c r="B69" s="50" t="s">
        <v>129</v>
      </c>
      <c r="C69" s="52" t="s">
        <v>130</v>
      </c>
      <c r="D69" s="50" t="s">
        <v>20</v>
      </c>
      <c r="E69" s="53" t="s">
        <v>20</v>
      </c>
      <c r="F69" s="53" t="s">
        <v>108</v>
      </c>
      <c r="G69" s="54">
        <v>428.18992700000001</v>
      </c>
      <c r="H69" s="55" t="s">
        <v>116</v>
      </c>
      <c r="I69" s="55" t="s">
        <v>295</v>
      </c>
      <c r="J69" s="55" t="s">
        <v>325</v>
      </c>
      <c r="K69" s="57">
        <v>7424.4757142856597</v>
      </c>
      <c r="L69" s="57">
        <v>9451.3575842856408</v>
      </c>
      <c r="M69" s="57">
        <f t="shared" si="2"/>
        <v>8978.7897050713582</v>
      </c>
      <c r="N69" s="57">
        <v>8909.3708571427906</v>
      </c>
      <c r="O69" s="58">
        <v>7424.4757142856597</v>
      </c>
      <c r="P69" s="58">
        <v>870.28571428571399</v>
      </c>
      <c r="Q69" s="55">
        <f t="shared" si="3"/>
        <v>6091.9999999999982</v>
      </c>
      <c r="R69" s="45">
        <v>45132</v>
      </c>
    </row>
    <row r="70" spans="1:18" s="44" customFormat="1" ht="16.5">
      <c r="A70" s="51" t="s">
        <v>105</v>
      </c>
      <c r="B70" s="51" t="s">
        <v>302</v>
      </c>
      <c r="C70" s="52" t="s">
        <v>303</v>
      </c>
      <c r="D70" s="51" t="s">
        <v>11</v>
      </c>
      <c r="E70" s="59" t="s">
        <v>11</v>
      </c>
      <c r="F70" s="59" t="s">
        <v>189</v>
      </c>
      <c r="G70" s="60">
        <v>335.47273300000001</v>
      </c>
      <c r="H70" s="61" t="s">
        <v>116</v>
      </c>
      <c r="I70" s="61" t="s">
        <v>113</v>
      </c>
      <c r="J70" s="61" t="s">
        <v>324</v>
      </c>
      <c r="K70" s="57">
        <v>7941</v>
      </c>
      <c r="L70" s="57">
        <v>7543.95</v>
      </c>
      <c r="M70" s="57">
        <f t="shared" si="2"/>
        <v>7166.7524999999996</v>
      </c>
      <c r="N70" s="57">
        <v>7941</v>
      </c>
      <c r="O70" s="58">
        <f t="shared" ref="O70:O80" si="4">K70</f>
        <v>7941</v>
      </c>
      <c r="P70" s="58">
        <f t="shared" ref="P70:P80" si="5">O70/8</f>
        <v>992.625</v>
      </c>
      <c r="Q70" s="55">
        <f t="shared" si="3"/>
        <v>6948.375</v>
      </c>
      <c r="R70" s="45">
        <v>45143</v>
      </c>
    </row>
    <row r="71" spans="1:18" s="44" customFormat="1" ht="16.5">
      <c r="A71" s="51" t="s">
        <v>105</v>
      </c>
      <c r="B71" s="51" t="s">
        <v>287</v>
      </c>
      <c r="C71" s="52" t="s">
        <v>288</v>
      </c>
      <c r="D71" s="51" t="s">
        <v>11</v>
      </c>
      <c r="E71" s="51" t="s">
        <v>11</v>
      </c>
      <c r="F71" s="59" t="s">
        <v>289</v>
      </c>
      <c r="G71" s="60">
        <v>417.32</v>
      </c>
      <c r="H71" s="61" t="s">
        <v>109</v>
      </c>
      <c r="I71" s="61" t="s">
        <v>113</v>
      </c>
      <c r="J71" s="61" t="s">
        <v>324</v>
      </c>
      <c r="K71" s="57">
        <v>3359</v>
      </c>
      <c r="L71" s="57">
        <v>3191.05</v>
      </c>
      <c r="M71" s="57">
        <f t="shared" si="2"/>
        <v>3031.4974999999999</v>
      </c>
      <c r="N71" s="57">
        <v>3359</v>
      </c>
      <c r="O71" s="58">
        <f t="shared" si="4"/>
        <v>3359</v>
      </c>
      <c r="P71" s="58">
        <f t="shared" si="5"/>
        <v>419.875</v>
      </c>
      <c r="Q71" s="55">
        <f t="shared" si="3"/>
        <v>2939.125</v>
      </c>
      <c r="R71" s="45">
        <v>45143</v>
      </c>
    </row>
    <row r="72" spans="1:18" s="44" customFormat="1" ht="16.5">
      <c r="A72" s="51" t="s">
        <v>105</v>
      </c>
      <c r="B72" s="51" t="s">
        <v>264</v>
      </c>
      <c r="C72" s="52" t="s">
        <v>265</v>
      </c>
      <c r="D72" s="51" t="s">
        <v>20</v>
      </c>
      <c r="E72" s="51" t="s">
        <v>20</v>
      </c>
      <c r="F72" s="59" t="s">
        <v>266</v>
      </c>
      <c r="G72" s="60">
        <v>319.12180499999999</v>
      </c>
      <c r="H72" s="61" t="s">
        <v>109</v>
      </c>
      <c r="I72" s="61" t="s">
        <v>326</v>
      </c>
      <c r="J72" s="61" t="s">
        <v>325</v>
      </c>
      <c r="K72" s="57">
        <v>3359</v>
      </c>
      <c r="L72" s="57">
        <v>3191.05</v>
      </c>
      <c r="M72" s="57">
        <f t="shared" si="2"/>
        <v>3031.4974999999999</v>
      </c>
      <c r="N72" s="57">
        <v>3359</v>
      </c>
      <c r="O72" s="58">
        <f t="shared" si="4"/>
        <v>3359</v>
      </c>
      <c r="P72" s="58">
        <f t="shared" si="5"/>
        <v>419.875</v>
      </c>
      <c r="Q72" s="55">
        <f t="shared" si="3"/>
        <v>2939.125</v>
      </c>
      <c r="R72" s="45">
        <v>45141</v>
      </c>
    </row>
    <row r="73" spans="1:18" ht="16.5">
      <c r="A73" s="50" t="s">
        <v>105</v>
      </c>
      <c r="B73" s="51" t="s">
        <v>310</v>
      </c>
      <c r="C73" s="52" t="s">
        <v>311</v>
      </c>
      <c r="D73" s="50" t="s">
        <v>11</v>
      </c>
      <c r="E73" s="50" t="s">
        <v>11</v>
      </c>
      <c r="F73" s="53" t="s">
        <v>17</v>
      </c>
      <c r="G73" s="62">
        <v>376.53585900000002</v>
      </c>
      <c r="H73" s="55" t="s">
        <v>121</v>
      </c>
      <c r="I73" s="55" t="s">
        <v>33</v>
      </c>
      <c r="J73" s="65">
        <v>45181</v>
      </c>
      <c r="K73" s="57">
        <v>2241</v>
      </c>
      <c r="L73" s="57">
        <v>2241</v>
      </c>
      <c r="M73" s="57">
        <f>L73</f>
        <v>2241</v>
      </c>
      <c r="N73" s="57">
        <v>2241</v>
      </c>
      <c r="O73" s="58">
        <f t="shared" si="4"/>
        <v>2241</v>
      </c>
      <c r="P73" s="58">
        <f t="shared" si="5"/>
        <v>280.125</v>
      </c>
      <c r="Q73" s="55">
        <f t="shared" si="3"/>
        <v>1960.875</v>
      </c>
      <c r="R73" s="45">
        <v>45183</v>
      </c>
    </row>
    <row r="74" spans="1:18" ht="16.5">
      <c r="A74" s="51" t="s">
        <v>105</v>
      </c>
      <c r="B74" s="51" t="s">
        <v>275</v>
      </c>
      <c r="C74" s="52" t="s">
        <v>276</v>
      </c>
      <c r="D74" s="51" t="s">
        <v>20</v>
      </c>
      <c r="E74" s="51" t="s">
        <v>20</v>
      </c>
      <c r="F74" s="59" t="s">
        <v>108</v>
      </c>
      <c r="G74" s="60">
        <v>432.93</v>
      </c>
      <c r="H74" s="61" t="s">
        <v>109</v>
      </c>
      <c r="I74" s="61" t="s">
        <v>326</v>
      </c>
      <c r="J74" s="61" t="s">
        <v>325</v>
      </c>
      <c r="K74" s="57">
        <v>3359</v>
      </c>
      <c r="L74" s="57">
        <v>3191.05</v>
      </c>
      <c r="M74" s="57">
        <f t="shared" ref="M74:M86" si="6">L74*0.95</f>
        <v>3031.4974999999999</v>
      </c>
      <c r="N74" s="57">
        <v>3359</v>
      </c>
      <c r="O74" s="58">
        <f t="shared" si="4"/>
        <v>3359</v>
      </c>
      <c r="P74" s="58">
        <f t="shared" si="5"/>
        <v>419.875</v>
      </c>
      <c r="Q74" s="55">
        <f t="shared" si="3"/>
        <v>2939.125</v>
      </c>
      <c r="R74" s="45">
        <v>45140</v>
      </c>
    </row>
    <row r="75" spans="1:18" ht="17.25" customHeight="1">
      <c r="A75" s="51" t="s">
        <v>105</v>
      </c>
      <c r="B75" s="51" t="s">
        <v>307</v>
      </c>
      <c r="C75" s="52" t="s">
        <v>308</v>
      </c>
      <c r="D75" s="51" t="s">
        <v>11</v>
      </c>
      <c r="E75" s="59" t="s">
        <v>11</v>
      </c>
      <c r="F75" s="59" t="s">
        <v>309</v>
      </c>
      <c r="G75" s="60">
        <v>311.87537099999997</v>
      </c>
      <c r="H75" s="61" t="s">
        <v>109</v>
      </c>
      <c r="I75" s="61" t="s">
        <v>113</v>
      </c>
      <c r="J75" s="61" t="s">
        <v>324</v>
      </c>
      <c r="K75" s="57">
        <v>3359</v>
      </c>
      <c r="L75" s="57">
        <v>3191.05</v>
      </c>
      <c r="M75" s="57">
        <f t="shared" si="6"/>
        <v>3031.4974999999999</v>
      </c>
      <c r="N75" s="57">
        <v>3359</v>
      </c>
      <c r="O75" s="58">
        <f t="shared" si="4"/>
        <v>3359</v>
      </c>
      <c r="P75" s="58">
        <f t="shared" si="5"/>
        <v>419.875</v>
      </c>
      <c r="Q75" s="55">
        <f t="shared" si="3"/>
        <v>2939.125</v>
      </c>
      <c r="R75" s="45">
        <v>45138</v>
      </c>
    </row>
    <row r="76" spans="1:18" ht="16.5">
      <c r="A76" s="51" t="s">
        <v>105</v>
      </c>
      <c r="B76" s="51" t="s">
        <v>290</v>
      </c>
      <c r="C76" s="52" t="s">
        <v>291</v>
      </c>
      <c r="D76" s="51" t="s">
        <v>20</v>
      </c>
      <c r="E76" s="51" t="s">
        <v>20</v>
      </c>
      <c r="F76" s="59" t="s">
        <v>292</v>
      </c>
      <c r="G76" s="60">
        <v>325.35000000000002</v>
      </c>
      <c r="H76" s="61" t="s">
        <v>116</v>
      </c>
      <c r="I76" s="61" t="s">
        <v>326</v>
      </c>
      <c r="J76" s="61" t="s">
        <v>325</v>
      </c>
      <c r="K76" s="57">
        <v>7941</v>
      </c>
      <c r="L76" s="57">
        <v>7543.95</v>
      </c>
      <c r="M76" s="57">
        <f t="shared" si="6"/>
        <v>7166.7524999999996</v>
      </c>
      <c r="N76" s="57">
        <v>7941</v>
      </c>
      <c r="O76" s="58">
        <f t="shared" si="4"/>
        <v>7941</v>
      </c>
      <c r="P76" s="58">
        <f t="shared" si="5"/>
        <v>992.625</v>
      </c>
      <c r="Q76" s="55">
        <f t="shared" si="3"/>
        <v>6948.375</v>
      </c>
      <c r="R76" s="45">
        <v>45138</v>
      </c>
    </row>
    <row r="77" spans="1:18" ht="16.5">
      <c r="A77" s="51" t="s">
        <v>105</v>
      </c>
      <c r="B77" s="51" t="s">
        <v>283</v>
      </c>
      <c r="C77" s="52" t="s">
        <v>284</v>
      </c>
      <c r="D77" s="51" t="s">
        <v>20</v>
      </c>
      <c r="E77" s="51" t="s">
        <v>20</v>
      </c>
      <c r="F77" s="59" t="s">
        <v>282</v>
      </c>
      <c r="G77" s="60">
        <v>410.90996899999999</v>
      </c>
      <c r="H77" s="61" t="s">
        <v>116</v>
      </c>
      <c r="I77" s="61" t="s">
        <v>326</v>
      </c>
      <c r="J77" s="61" t="s">
        <v>325</v>
      </c>
      <c r="K77" s="57">
        <v>7941</v>
      </c>
      <c r="L77" s="57">
        <v>7543.95</v>
      </c>
      <c r="M77" s="57">
        <f t="shared" si="6"/>
        <v>7166.7524999999996</v>
      </c>
      <c r="N77" s="57">
        <v>7941</v>
      </c>
      <c r="O77" s="58">
        <f t="shared" si="4"/>
        <v>7941</v>
      </c>
      <c r="P77" s="58">
        <f t="shared" si="5"/>
        <v>992.625</v>
      </c>
      <c r="Q77" s="55">
        <f t="shared" si="3"/>
        <v>6948.375</v>
      </c>
      <c r="R77" s="45">
        <v>45137</v>
      </c>
    </row>
    <row r="78" spans="1:18" ht="16.5">
      <c r="A78" s="51" t="s">
        <v>105</v>
      </c>
      <c r="B78" s="51" t="s">
        <v>280</v>
      </c>
      <c r="C78" s="52" t="s">
        <v>281</v>
      </c>
      <c r="D78" s="51" t="s">
        <v>20</v>
      </c>
      <c r="E78" s="51" t="s">
        <v>20</v>
      </c>
      <c r="F78" s="59" t="s">
        <v>282</v>
      </c>
      <c r="G78" s="60">
        <v>362.13589400000001</v>
      </c>
      <c r="H78" s="61" t="s">
        <v>116</v>
      </c>
      <c r="I78" s="61" t="s">
        <v>326</v>
      </c>
      <c r="J78" s="61" t="s">
        <v>325</v>
      </c>
      <c r="K78" s="57">
        <v>7941</v>
      </c>
      <c r="L78" s="57">
        <v>7543.95</v>
      </c>
      <c r="M78" s="57">
        <f t="shared" si="6"/>
        <v>7166.7524999999996</v>
      </c>
      <c r="N78" s="57">
        <v>7941</v>
      </c>
      <c r="O78" s="58">
        <f t="shared" si="4"/>
        <v>7941</v>
      </c>
      <c r="P78" s="58">
        <f t="shared" si="5"/>
        <v>992.625</v>
      </c>
      <c r="Q78" s="55">
        <f t="shared" si="3"/>
        <v>6948.375</v>
      </c>
      <c r="R78" s="45">
        <v>45135</v>
      </c>
    </row>
    <row r="79" spans="1:18" ht="16.5">
      <c r="A79" s="51" t="s">
        <v>105</v>
      </c>
      <c r="B79" s="51" t="s">
        <v>262</v>
      </c>
      <c r="C79" s="51" t="s">
        <v>263</v>
      </c>
      <c r="D79" s="51" t="s">
        <v>20</v>
      </c>
      <c r="E79" s="51" t="s">
        <v>20</v>
      </c>
      <c r="F79" s="59" t="s">
        <v>169</v>
      </c>
      <c r="G79" s="60">
        <v>325.35000000000002</v>
      </c>
      <c r="H79" s="61" t="s">
        <v>109</v>
      </c>
      <c r="I79" s="61" t="s">
        <v>128</v>
      </c>
      <c r="J79" s="61" t="s">
        <v>325</v>
      </c>
      <c r="K79" s="57">
        <v>4836.53</v>
      </c>
      <c r="L79" s="57">
        <v>4594.7034999999996</v>
      </c>
      <c r="M79" s="57">
        <f t="shared" si="6"/>
        <v>4364.9683249999998</v>
      </c>
      <c r="N79" s="57">
        <v>4836.53</v>
      </c>
      <c r="O79" s="58">
        <f t="shared" si="4"/>
        <v>4836.53</v>
      </c>
      <c r="P79" s="58">
        <f t="shared" si="5"/>
        <v>604.56624999999997</v>
      </c>
      <c r="Q79" s="55">
        <f t="shared" si="3"/>
        <v>4231.9637499999999</v>
      </c>
      <c r="R79" s="45">
        <v>45134</v>
      </c>
    </row>
    <row r="80" spans="1:18" ht="16.5">
      <c r="A80" s="51" t="s">
        <v>105</v>
      </c>
      <c r="B80" s="51" t="s">
        <v>260</v>
      </c>
      <c r="C80" s="51" t="s">
        <v>261</v>
      </c>
      <c r="D80" s="51" t="s">
        <v>20</v>
      </c>
      <c r="E80" s="51" t="s">
        <v>20</v>
      </c>
      <c r="F80" s="59" t="s">
        <v>169</v>
      </c>
      <c r="G80" s="60">
        <v>266.82</v>
      </c>
      <c r="H80" s="61" t="s">
        <v>116</v>
      </c>
      <c r="I80" s="61" t="s">
        <v>128</v>
      </c>
      <c r="J80" s="61" t="s">
        <v>325</v>
      </c>
      <c r="K80" s="57">
        <v>7941</v>
      </c>
      <c r="L80" s="57">
        <v>7543.95</v>
      </c>
      <c r="M80" s="57">
        <f t="shared" si="6"/>
        <v>7166.7524999999996</v>
      </c>
      <c r="N80" s="57">
        <f>L80</f>
        <v>7543.95</v>
      </c>
      <c r="O80" s="58">
        <f t="shared" si="4"/>
        <v>7941</v>
      </c>
      <c r="P80" s="58">
        <f t="shared" si="5"/>
        <v>992.625</v>
      </c>
      <c r="Q80" s="55">
        <f t="shared" si="3"/>
        <v>6948.375</v>
      </c>
      <c r="R80" s="45">
        <v>45131</v>
      </c>
    </row>
    <row r="81" spans="1:18" ht="16.5">
      <c r="A81" s="51" t="s">
        <v>105</v>
      </c>
      <c r="B81" s="51" t="s">
        <v>267</v>
      </c>
      <c r="C81" s="51" t="s">
        <v>268</v>
      </c>
      <c r="D81" s="51" t="s">
        <v>20</v>
      </c>
      <c r="E81" s="51" t="s">
        <v>20</v>
      </c>
      <c r="F81" s="59" t="s">
        <v>108</v>
      </c>
      <c r="G81" s="60">
        <v>417.41</v>
      </c>
      <c r="H81" s="61" t="s">
        <v>116</v>
      </c>
      <c r="I81" s="61" t="s">
        <v>128</v>
      </c>
      <c r="J81" s="61" t="s">
        <v>325</v>
      </c>
      <c r="K81" s="57">
        <v>8333.7424999999294</v>
      </c>
      <c r="L81" s="57">
        <v>10608.854202499901</v>
      </c>
      <c r="M81" s="57">
        <f t="shared" si="6"/>
        <v>10078.411492374906</v>
      </c>
      <c r="N81" s="57">
        <v>10000.4909999999</v>
      </c>
      <c r="O81" s="58">
        <v>8333.7424999999294</v>
      </c>
      <c r="P81" s="58">
        <v>988.25</v>
      </c>
      <c r="Q81" s="55">
        <f t="shared" si="3"/>
        <v>6917.75</v>
      </c>
      <c r="R81" s="45">
        <v>45128</v>
      </c>
    </row>
    <row r="82" spans="1:18" ht="16.5">
      <c r="A82" s="51" t="s">
        <v>105</v>
      </c>
      <c r="B82" s="51" t="s">
        <v>273</v>
      </c>
      <c r="C82" s="52" t="s">
        <v>274</v>
      </c>
      <c r="D82" s="51" t="s">
        <v>20</v>
      </c>
      <c r="E82" s="51" t="s">
        <v>20</v>
      </c>
      <c r="F82" s="59" t="s">
        <v>108</v>
      </c>
      <c r="G82" s="60">
        <v>523.69000000000005</v>
      </c>
      <c r="H82" s="61" t="s">
        <v>109</v>
      </c>
      <c r="I82" s="61" t="s">
        <v>110</v>
      </c>
      <c r="J82" s="61" t="s">
        <v>325</v>
      </c>
      <c r="K82" s="57">
        <v>3578.8071428571302</v>
      </c>
      <c r="L82" s="57">
        <v>4555.8214928571297</v>
      </c>
      <c r="M82" s="57">
        <f t="shared" si="6"/>
        <v>4328.0304182142727</v>
      </c>
      <c r="N82" s="57">
        <v>4294.5685714285601</v>
      </c>
      <c r="O82" s="58">
        <v>3578.8071428571302</v>
      </c>
      <c r="P82" s="58">
        <v>415.71428571428601</v>
      </c>
      <c r="Q82" s="55">
        <f t="shared" si="3"/>
        <v>2910.0000000000018</v>
      </c>
      <c r="R82" s="45">
        <v>45132</v>
      </c>
    </row>
    <row r="83" spans="1:18" ht="16.5">
      <c r="A83" s="51" t="s">
        <v>105</v>
      </c>
      <c r="B83" s="51" t="s">
        <v>277</v>
      </c>
      <c r="C83" s="52" t="s">
        <v>278</v>
      </c>
      <c r="D83" s="51" t="s">
        <v>11</v>
      </c>
      <c r="E83" s="59" t="s">
        <v>11</v>
      </c>
      <c r="F83" s="59" t="s">
        <v>279</v>
      </c>
      <c r="G83" s="63">
        <v>373</v>
      </c>
      <c r="H83" s="61" t="s">
        <v>121</v>
      </c>
      <c r="I83" s="61" t="s">
        <v>113</v>
      </c>
      <c r="J83" s="61" t="s">
        <v>324</v>
      </c>
      <c r="K83" s="57">
        <v>2733.3664285714199</v>
      </c>
      <c r="L83" s="57">
        <v>3479.5754635714202</v>
      </c>
      <c r="M83" s="57">
        <f t="shared" si="6"/>
        <v>3305.5966903928488</v>
      </c>
      <c r="N83" s="57">
        <v>3280.03971428571</v>
      </c>
      <c r="O83" s="58">
        <v>2733.3664285714199</v>
      </c>
      <c r="P83" s="58">
        <v>306.21428571428601</v>
      </c>
      <c r="Q83" s="55">
        <f t="shared" si="3"/>
        <v>2143.5000000000018</v>
      </c>
      <c r="R83" s="45">
        <v>45132</v>
      </c>
    </row>
    <row r="84" spans="1:18" ht="16.5">
      <c r="A84" s="51" t="s">
        <v>105</v>
      </c>
      <c r="B84" s="51" t="s">
        <v>285</v>
      </c>
      <c r="C84" s="52" t="s">
        <v>286</v>
      </c>
      <c r="D84" s="51" t="s">
        <v>20</v>
      </c>
      <c r="E84" s="59" t="s">
        <v>20</v>
      </c>
      <c r="F84" s="59" t="s">
        <v>108</v>
      </c>
      <c r="G84" s="63">
        <v>204.48</v>
      </c>
      <c r="H84" s="61" t="s">
        <v>116</v>
      </c>
      <c r="I84" s="61" t="s">
        <v>110</v>
      </c>
      <c r="J84" s="61" t="s">
        <v>325</v>
      </c>
      <c r="K84" s="57">
        <v>3941.1957142857</v>
      </c>
      <c r="L84" s="57">
        <v>5017.1421442856899</v>
      </c>
      <c r="M84" s="57">
        <f t="shared" si="6"/>
        <v>4766.285037071405</v>
      </c>
      <c r="N84" s="57">
        <v>4729.43485714284</v>
      </c>
      <c r="O84" s="58">
        <v>3941.1957142857</v>
      </c>
      <c r="P84" s="58">
        <v>437.57142857142901</v>
      </c>
      <c r="Q84" s="55">
        <f t="shared" si="3"/>
        <v>3063.0000000000032</v>
      </c>
      <c r="R84" s="45">
        <v>45132</v>
      </c>
    </row>
    <row r="85" spans="1:18" ht="16.5">
      <c r="A85" s="51" t="s">
        <v>105</v>
      </c>
      <c r="B85" s="51" t="s">
        <v>293</v>
      </c>
      <c r="C85" s="64" t="s">
        <v>294</v>
      </c>
      <c r="D85" s="51" t="s">
        <v>11</v>
      </c>
      <c r="E85" s="59" t="s">
        <v>11</v>
      </c>
      <c r="F85" s="59" t="s">
        <v>182</v>
      </c>
      <c r="G85" s="63">
        <v>275</v>
      </c>
      <c r="H85" s="61" t="s">
        <v>116</v>
      </c>
      <c r="I85" s="61" t="s">
        <v>295</v>
      </c>
      <c r="J85" s="61" t="s">
        <v>324</v>
      </c>
      <c r="K85" s="57">
        <v>37525.964285714399</v>
      </c>
      <c r="L85" s="57">
        <v>39214.632678571499</v>
      </c>
      <c r="M85" s="57">
        <f t="shared" si="6"/>
        <v>37253.901044642924</v>
      </c>
      <c r="N85" s="57">
        <v>45031.157142857301</v>
      </c>
      <c r="O85" s="58">
        <v>37525.964285714399</v>
      </c>
      <c r="P85" s="58">
        <v>4482.6428571428596</v>
      </c>
      <c r="Q85" s="55">
        <f t="shared" si="3"/>
        <v>31378.500000000018</v>
      </c>
      <c r="R85" s="45">
        <v>45132</v>
      </c>
    </row>
    <row r="86" spans="1:18" ht="16.5">
      <c r="A86" s="51" t="s">
        <v>105</v>
      </c>
      <c r="B86" s="51" t="s">
        <v>271</v>
      </c>
      <c r="C86" s="52" t="s">
        <v>272</v>
      </c>
      <c r="D86" s="51" t="s">
        <v>20</v>
      </c>
      <c r="E86" s="59" t="s">
        <v>19</v>
      </c>
      <c r="F86" s="59" t="s">
        <v>19</v>
      </c>
      <c r="G86" s="63">
        <v>279</v>
      </c>
      <c r="H86" s="61" t="s">
        <v>121</v>
      </c>
      <c r="I86" s="61" t="s">
        <v>128</v>
      </c>
      <c r="J86" s="61" t="s">
        <v>325</v>
      </c>
      <c r="K86" s="57">
        <v>2414.7835714285702</v>
      </c>
      <c r="L86" s="57">
        <v>3074.01948642856</v>
      </c>
      <c r="M86" s="57">
        <f t="shared" si="6"/>
        <v>2920.3185121071319</v>
      </c>
      <c r="N86" s="57">
        <v>2897.7402857142802</v>
      </c>
      <c r="O86" s="58">
        <v>2414.7835714285702</v>
      </c>
      <c r="P86" s="58">
        <v>282.357142857143</v>
      </c>
      <c r="Q86" s="55">
        <f t="shared" si="3"/>
        <v>1976.5000000000009</v>
      </c>
      <c r="R86" s="45">
        <v>45132</v>
      </c>
    </row>
    <row r="87" spans="1:18" ht="16.5">
      <c r="A87" s="50" t="s">
        <v>105</v>
      </c>
      <c r="B87" s="51" t="s">
        <v>296</v>
      </c>
      <c r="C87" s="52" t="s">
        <v>297</v>
      </c>
      <c r="D87" s="50" t="s">
        <v>11</v>
      </c>
      <c r="E87" s="50" t="s">
        <v>11</v>
      </c>
      <c r="F87" s="53" t="s">
        <v>298</v>
      </c>
      <c r="G87" s="62">
        <v>195.00339700000001</v>
      </c>
      <c r="H87" s="55" t="s">
        <v>109</v>
      </c>
      <c r="I87" s="55" t="s">
        <v>33</v>
      </c>
      <c r="J87" s="65">
        <v>45184</v>
      </c>
      <c r="K87" s="57">
        <v>3359</v>
      </c>
      <c r="L87" s="57">
        <v>3359</v>
      </c>
      <c r="M87" s="57">
        <f t="shared" ref="M87:M94" si="7">L87</f>
        <v>3359</v>
      </c>
      <c r="N87" s="57">
        <v>3359</v>
      </c>
      <c r="O87" s="58">
        <f t="shared" ref="O87:O94" si="8">K87</f>
        <v>3359</v>
      </c>
      <c r="P87" s="58">
        <f t="shared" ref="P87:P94" si="9">O87/8</f>
        <v>419.875</v>
      </c>
      <c r="Q87" s="55">
        <f t="shared" si="3"/>
        <v>2939.125</v>
      </c>
      <c r="R87" s="45">
        <v>45186</v>
      </c>
    </row>
    <row r="88" spans="1:18" ht="16.5">
      <c r="A88" s="50" t="s">
        <v>105</v>
      </c>
      <c r="B88" s="51" t="s">
        <v>327</v>
      </c>
      <c r="C88" s="52" t="s">
        <v>328</v>
      </c>
      <c r="D88" s="50" t="s">
        <v>11</v>
      </c>
      <c r="E88" s="50" t="s">
        <v>11</v>
      </c>
      <c r="F88" s="53" t="s">
        <v>182</v>
      </c>
      <c r="G88" s="62">
        <v>320.794059</v>
      </c>
      <c r="H88" s="55" t="s">
        <v>109</v>
      </c>
      <c r="I88" s="55" t="s">
        <v>33</v>
      </c>
      <c r="J88" s="65">
        <v>45166</v>
      </c>
      <c r="K88" s="57">
        <v>3359</v>
      </c>
      <c r="L88" s="57">
        <v>3359</v>
      </c>
      <c r="M88" s="57">
        <f t="shared" si="7"/>
        <v>3359</v>
      </c>
      <c r="N88" s="57">
        <v>3359</v>
      </c>
      <c r="O88" s="58">
        <f t="shared" si="8"/>
        <v>3359</v>
      </c>
      <c r="P88" s="58">
        <f t="shared" si="9"/>
        <v>419.875</v>
      </c>
      <c r="Q88" s="55">
        <f t="shared" si="3"/>
        <v>2939.125</v>
      </c>
      <c r="R88" s="45">
        <v>45168</v>
      </c>
    </row>
    <row r="89" spans="1:18" ht="16.5">
      <c r="A89" s="50" t="s">
        <v>105</v>
      </c>
      <c r="B89" s="51" t="s">
        <v>312</v>
      </c>
      <c r="C89" s="52" t="s">
        <v>313</v>
      </c>
      <c r="D89" s="50" t="s">
        <v>11</v>
      </c>
      <c r="E89" s="50" t="s">
        <v>11</v>
      </c>
      <c r="F89" s="53" t="s">
        <v>314</v>
      </c>
      <c r="G89" s="62">
        <v>301</v>
      </c>
      <c r="H89" s="55" t="s">
        <v>121</v>
      </c>
      <c r="I89" s="55" t="s">
        <v>33</v>
      </c>
      <c r="J89" s="65">
        <v>45184</v>
      </c>
      <c r="K89" s="57">
        <v>2241</v>
      </c>
      <c r="L89" s="57">
        <v>2241</v>
      </c>
      <c r="M89" s="57">
        <f t="shared" si="7"/>
        <v>2241</v>
      </c>
      <c r="N89" s="57">
        <v>2241</v>
      </c>
      <c r="O89" s="58">
        <f t="shared" si="8"/>
        <v>2241</v>
      </c>
      <c r="P89" s="58">
        <f t="shared" si="9"/>
        <v>280.125</v>
      </c>
      <c r="Q89" s="55">
        <f t="shared" si="3"/>
        <v>1960.875</v>
      </c>
      <c r="R89" s="45">
        <v>45186</v>
      </c>
    </row>
    <row r="90" spans="1:18" ht="16.5">
      <c r="A90" s="50" t="s">
        <v>105</v>
      </c>
      <c r="B90" s="51" t="s">
        <v>317</v>
      </c>
      <c r="C90" s="52" t="s">
        <v>318</v>
      </c>
      <c r="D90" s="50" t="s">
        <v>11</v>
      </c>
      <c r="E90" s="50" t="s">
        <v>11</v>
      </c>
      <c r="F90" s="53" t="s">
        <v>17</v>
      </c>
      <c r="G90" s="62">
        <v>325</v>
      </c>
      <c r="H90" s="55" t="s">
        <v>109</v>
      </c>
      <c r="I90" s="55" t="s">
        <v>33</v>
      </c>
      <c r="J90" s="65">
        <v>45184</v>
      </c>
      <c r="K90" s="57">
        <v>3359</v>
      </c>
      <c r="L90" s="57">
        <v>3359</v>
      </c>
      <c r="M90" s="57">
        <f t="shared" si="7"/>
        <v>3359</v>
      </c>
      <c r="N90" s="57">
        <v>3359</v>
      </c>
      <c r="O90" s="58">
        <f t="shared" si="8"/>
        <v>3359</v>
      </c>
      <c r="P90" s="58">
        <f t="shared" si="9"/>
        <v>419.875</v>
      </c>
      <c r="Q90" s="55">
        <f t="shared" si="3"/>
        <v>2939.125</v>
      </c>
      <c r="R90" s="45">
        <v>45186</v>
      </c>
    </row>
    <row r="91" spans="1:18" ht="16.5">
      <c r="A91" s="51" t="s">
        <v>105</v>
      </c>
      <c r="B91" s="51" t="s">
        <v>269</v>
      </c>
      <c r="C91" s="52" t="s">
        <v>270</v>
      </c>
      <c r="D91" s="51" t="s">
        <v>20</v>
      </c>
      <c r="E91" s="51" t="s">
        <v>20</v>
      </c>
      <c r="F91" s="59" t="s">
        <v>108</v>
      </c>
      <c r="G91" s="60">
        <v>511.25</v>
      </c>
      <c r="H91" s="61" t="s">
        <v>109</v>
      </c>
      <c r="I91" s="61" t="s">
        <v>33</v>
      </c>
      <c r="J91" s="65">
        <v>45153</v>
      </c>
      <c r="K91" s="57">
        <v>3359</v>
      </c>
      <c r="L91" s="57">
        <v>3359</v>
      </c>
      <c r="M91" s="57">
        <f t="shared" si="7"/>
        <v>3359</v>
      </c>
      <c r="N91" s="57">
        <v>3359</v>
      </c>
      <c r="O91" s="58">
        <f t="shared" si="8"/>
        <v>3359</v>
      </c>
      <c r="P91" s="58">
        <f t="shared" si="9"/>
        <v>419.875</v>
      </c>
      <c r="Q91" s="55">
        <f t="shared" si="3"/>
        <v>2939.125</v>
      </c>
      <c r="R91" s="45">
        <v>45155</v>
      </c>
    </row>
    <row r="92" spans="1:18" ht="16.5">
      <c r="A92" s="50" t="s">
        <v>105</v>
      </c>
      <c r="B92" s="51" t="s">
        <v>315</v>
      </c>
      <c r="C92" s="52" t="s">
        <v>316</v>
      </c>
      <c r="D92" s="50" t="s">
        <v>20</v>
      </c>
      <c r="E92" s="50" t="s">
        <v>20</v>
      </c>
      <c r="F92" s="53" t="s">
        <v>282</v>
      </c>
      <c r="G92" s="62">
        <v>375.23521699999998</v>
      </c>
      <c r="H92" s="55" t="s">
        <v>121</v>
      </c>
      <c r="I92" s="55" t="s">
        <v>33</v>
      </c>
      <c r="J92" s="65">
        <v>45158</v>
      </c>
      <c r="K92" s="57">
        <v>2241</v>
      </c>
      <c r="L92" s="57">
        <v>2241</v>
      </c>
      <c r="M92" s="57">
        <f t="shared" si="7"/>
        <v>2241</v>
      </c>
      <c r="N92" s="57">
        <v>2241</v>
      </c>
      <c r="O92" s="58">
        <f t="shared" si="8"/>
        <v>2241</v>
      </c>
      <c r="P92" s="58">
        <f t="shared" si="9"/>
        <v>280.125</v>
      </c>
      <c r="Q92" s="55">
        <f t="shared" si="3"/>
        <v>1960.875</v>
      </c>
      <c r="R92" s="45">
        <v>45160</v>
      </c>
    </row>
    <row r="93" spans="1:18" ht="16.5">
      <c r="A93" s="50" t="s">
        <v>105</v>
      </c>
      <c r="B93" s="51" t="s">
        <v>329</v>
      </c>
      <c r="C93" s="52" t="s">
        <v>330</v>
      </c>
      <c r="D93" s="50" t="s">
        <v>20</v>
      </c>
      <c r="E93" s="50" t="s">
        <v>20</v>
      </c>
      <c r="F93" s="53" t="s">
        <v>108</v>
      </c>
      <c r="G93" s="62">
        <v>325</v>
      </c>
      <c r="H93" s="55" t="s">
        <v>121</v>
      </c>
      <c r="I93" s="55" t="s">
        <v>33</v>
      </c>
      <c r="J93" s="65">
        <v>45158</v>
      </c>
      <c r="K93" s="57">
        <v>2241</v>
      </c>
      <c r="L93" s="57">
        <v>2241</v>
      </c>
      <c r="M93" s="57">
        <f t="shared" si="7"/>
        <v>2241</v>
      </c>
      <c r="N93" s="57">
        <v>2241</v>
      </c>
      <c r="O93" s="58">
        <f t="shared" si="8"/>
        <v>2241</v>
      </c>
      <c r="P93" s="58">
        <f t="shared" si="9"/>
        <v>280.125</v>
      </c>
      <c r="Q93" s="55">
        <f t="shared" si="3"/>
        <v>1960.875</v>
      </c>
      <c r="R93" s="45">
        <v>45160</v>
      </c>
    </row>
    <row r="94" spans="1:18" ht="16.5">
      <c r="A94" s="50" t="s">
        <v>105</v>
      </c>
      <c r="B94" s="51" t="s">
        <v>304</v>
      </c>
      <c r="C94" s="52" t="s">
        <v>305</v>
      </c>
      <c r="D94" s="50" t="s">
        <v>20</v>
      </c>
      <c r="E94" s="50" t="s">
        <v>20</v>
      </c>
      <c r="F94" s="53" t="s">
        <v>282</v>
      </c>
      <c r="G94" s="62">
        <v>349</v>
      </c>
      <c r="H94" s="55" t="s">
        <v>109</v>
      </c>
      <c r="I94" s="55" t="s">
        <v>33</v>
      </c>
      <c r="J94" s="65">
        <v>45166</v>
      </c>
      <c r="K94" s="57">
        <v>3359</v>
      </c>
      <c r="L94" s="57">
        <v>3359</v>
      </c>
      <c r="M94" s="57">
        <f t="shared" si="7"/>
        <v>3359</v>
      </c>
      <c r="N94" s="57">
        <v>3359</v>
      </c>
      <c r="O94" s="58">
        <f t="shared" si="8"/>
        <v>3359</v>
      </c>
      <c r="P94" s="58">
        <f t="shared" si="9"/>
        <v>419.875</v>
      </c>
      <c r="Q94" s="55">
        <f t="shared" si="3"/>
        <v>2939.125</v>
      </c>
      <c r="R94" s="45">
        <v>45168</v>
      </c>
    </row>
    <row r="95" spans="1:18">
      <c r="K95" s="66"/>
      <c r="L95" s="66">
        <f>SUM(L3:L72,L74:L86)</f>
        <v>484165.5257230475</v>
      </c>
      <c r="M95" s="66"/>
      <c r="N95" s="66">
        <f>SUM(N3:N72,N74:N86)</f>
        <v>470126.70976922923</v>
      </c>
    </row>
    <row r="96" spans="1:18">
      <c r="K96">
        <v>31</v>
      </c>
      <c r="L96">
        <v>31</v>
      </c>
      <c r="N96">
        <v>30</v>
      </c>
    </row>
    <row r="97" spans="11:14">
      <c r="K97">
        <v>7</v>
      </c>
      <c r="L97">
        <v>7</v>
      </c>
      <c r="N97">
        <v>7</v>
      </c>
    </row>
    <row r="98" spans="11:14">
      <c r="K98">
        <f>K95*K96*K97</f>
        <v>0</v>
      </c>
      <c r="L98">
        <f>L95*L96*L97</f>
        <v>105063919.08190131</v>
      </c>
      <c r="N98">
        <f>N95*N96*N97</f>
        <v>98726609.05153814</v>
      </c>
    </row>
    <row r="99" spans="11:14">
      <c r="L99">
        <v>100000000</v>
      </c>
      <c r="N99">
        <v>90000000</v>
      </c>
    </row>
    <row r="100" spans="11:14">
      <c r="L100" t="e">
        <f>L99/K98</f>
        <v>#DIV/0!</v>
      </c>
      <c r="N100" t="e">
        <f>N99/K98</f>
        <v>#DIV/0!</v>
      </c>
    </row>
    <row r="101" spans="11:14">
      <c r="K101">
        <f>SUBTOTAL(9,K3:K100)</f>
        <v>427563.0548076909</v>
      </c>
      <c r="L101" t="e">
        <f>SUBTOTAL(9,L3:L100)</f>
        <v>#DIV/0!</v>
      </c>
    </row>
    <row r="103" spans="11:14">
      <c r="K103" t="e">
        <f>#REF!/L101</f>
        <v>#REF!</v>
      </c>
    </row>
    <row r="104" spans="11:14">
      <c r="K104">
        <v>383748.05480769102</v>
      </c>
      <c r="L104">
        <f>SUBTOTAL(9,L3:L86)</f>
        <v>486406.5257230475</v>
      </c>
      <c r="M104">
        <f>SUBTOTAL(9,M3:M86)</f>
        <v>462198.24943689501</v>
      </c>
      <c r="N104">
        <f>SUBTOTAL(9,N3:N86)</f>
        <v>472367.70976922923</v>
      </c>
    </row>
    <row r="106" spans="11:14">
      <c r="K106">
        <f>K104*31*7</f>
        <v>83273327.893268958</v>
      </c>
      <c r="L106">
        <f>L104*31*7</f>
        <v>105550216.08190131</v>
      </c>
      <c r="M106">
        <f>M104*31*7</f>
        <v>100297020.12780622</v>
      </c>
      <c r="N106">
        <f>N104*31*7</f>
        <v>102503793.01992275</v>
      </c>
    </row>
  </sheetData>
  <autoFilter ref="A2:BD103" xr:uid="{00000000-0009-0000-0000-000005000000}"/>
  <mergeCells count="2">
    <mergeCell ref="A1:H1"/>
    <mergeCell ref="K1:Q1"/>
  </mergeCells>
  <phoneticPr fontId="12" type="noConversion"/>
  <conditionalFormatting sqref="B1:B62">
    <cfRule type="duplicateValues" dxfId="32" priority="66"/>
  </conditionalFormatting>
  <conditionalFormatting sqref="B63">
    <cfRule type="duplicateValues" dxfId="31" priority="64"/>
  </conditionalFormatting>
  <conditionalFormatting sqref="B64">
    <cfRule type="duplicateValues" dxfId="30" priority="63"/>
  </conditionalFormatting>
  <conditionalFormatting sqref="B65">
    <cfRule type="duplicateValues" dxfId="29" priority="62"/>
  </conditionalFormatting>
  <conditionalFormatting sqref="B66">
    <cfRule type="duplicateValues" dxfId="28" priority="61"/>
  </conditionalFormatting>
  <conditionalFormatting sqref="B67">
    <cfRule type="duplicateValues" dxfId="27" priority="60"/>
  </conditionalFormatting>
  <conditionalFormatting sqref="B68">
    <cfRule type="duplicateValues" dxfId="26" priority="59"/>
  </conditionalFormatting>
  <conditionalFormatting sqref="B69">
    <cfRule type="duplicateValues" dxfId="25" priority="58"/>
  </conditionalFormatting>
  <conditionalFormatting sqref="B70">
    <cfRule type="duplicateValues" dxfId="24" priority="57"/>
  </conditionalFormatting>
  <conditionalFormatting sqref="B71">
    <cfRule type="duplicateValues" dxfId="23" priority="56"/>
  </conditionalFormatting>
  <conditionalFormatting sqref="B72">
    <cfRule type="duplicateValues" dxfId="22" priority="55"/>
  </conditionalFormatting>
  <conditionalFormatting sqref="B73">
    <cfRule type="duplicateValues" dxfId="21" priority="54"/>
  </conditionalFormatting>
  <conditionalFormatting sqref="B74">
    <cfRule type="duplicateValues" dxfId="20" priority="53"/>
  </conditionalFormatting>
  <conditionalFormatting sqref="B75">
    <cfRule type="duplicateValues" dxfId="19" priority="52"/>
  </conditionalFormatting>
  <conditionalFormatting sqref="B76">
    <cfRule type="duplicateValues" dxfId="18" priority="31"/>
  </conditionalFormatting>
  <conditionalFormatting sqref="B77">
    <cfRule type="duplicateValues" dxfId="17" priority="51"/>
  </conditionalFormatting>
  <conditionalFormatting sqref="B78">
    <cfRule type="duplicateValues" dxfId="16" priority="50"/>
  </conditionalFormatting>
  <conditionalFormatting sqref="B79">
    <cfRule type="duplicateValues" dxfId="15" priority="49"/>
  </conditionalFormatting>
  <conditionalFormatting sqref="B80">
    <cfRule type="duplicateValues" dxfId="14" priority="29"/>
  </conditionalFormatting>
  <conditionalFormatting sqref="B81">
    <cfRule type="duplicateValues" dxfId="13" priority="48"/>
  </conditionalFormatting>
  <conditionalFormatting sqref="B82">
    <cfRule type="duplicateValues" dxfId="12" priority="27"/>
  </conditionalFormatting>
  <conditionalFormatting sqref="B83">
    <cfRule type="duplicateValues" dxfId="11" priority="26"/>
  </conditionalFormatting>
  <conditionalFormatting sqref="B84">
    <cfRule type="duplicateValues" dxfId="10" priority="25"/>
  </conditionalFormatting>
  <conditionalFormatting sqref="B85">
    <cfRule type="duplicateValues" dxfId="9" priority="24"/>
  </conditionalFormatting>
  <conditionalFormatting sqref="B86">
    <cfRule type="duplicateValues" dxfId="8" priority="38"/>
  </conditionalFormatting>
  <conditionalFormatting sqref="B87">
    <cfRule type="duplicateValues" dxfId="7" priority="37"/>
  </conditionalFormatting>
  <conditionalFormatting sqref="B88">
    <cfRule type="duplicateValues" dxfId="6" priority="36"/>
  </conditionalFormatting>
  <conditionalFormatting sqref="B89">
    <cfRule type="duplicateValues" dxfId="5" priority="35"/>
  </conditionalFormatting>
  <conditionalFormatting sqref="B90">
    <cfRule type="duplicateValues" dxfId="4" priority="34"/>
  </conditionalFormatting>
  <conditionalFormatting sqref="B91">
    <cfRule type="duplicateValues" dxfId="3" priority="20"/>
  </conditionalFormatting>
  <conditionalFormatting sqref="B92">
    <cfRule type="duplicateValues" dxfId="2" priority="19"/>
  </conditionalFormatting>
  <conditionalFormatting sqref="B93">
    <cfRule type="duplicateValues" dxfId="1" priority="10"/>
  </conditionalFormatting>
  <conditionalFormatting sqref="B94">
    <cfRule type="duplicateValues" dxfId="0" priority="9"/>
  </conditionalFormatting>
  <pageMargins left="0.75" right="0.75" top="1" bottom="1" header="0.5" footer="0.5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2"/>
  <sheetViews>
    <sheetView workbookViewId="0">
      <selection activeCell="L3" sqref="L3:L94"/>
    </sheetView>
  </sheetViews>
  <sheetFormatPr defaultColWidth="8.875" defaultRowHeight="14.25"/>
  <cols>
    <col min="1" max="3" width="8.875" style="42"/>
    <col min="4" max="4" width="8.875" style="43"/>
  </cols>
  <sheetData>
    <row r="1" spans="1:4">
      <c r="A1" s="42" t="s">
        <v>331</v>
      </c>
      <c r="B1" s="42" t="s">
        <v>332</v>
      </c>
    </row>
    <row r="2" spans="1:4">
      <c r="A2" s="42" t="s">
        <v>333</v>
      </c>
      <c r="B2" s="42">
        <v>7</v>
      </c>
      <c r="C2" s="42">
        <v>8</v>
      </c>
      <c r="D2" s="43" t="s">
        <v>32</v>
      </c>
    </row>
    <row r="3" spans="1:4">
      <c r="A3" s="42" t="s">
        <v>106</v>
      </c>
      <c r="B3" s="42">
        <v>2264.3951612903202</v>
      </c>
      <c r="C3" s="42">
        <v>2545.8970967741898</v>
      </c>
      <c r="D3" s="43">
        <f>C3/B3-1</f>
        <v>0.12431661235464819</v>
      </c>
    </row>
    <row r="4" spans="1:4">
      <c r="A4" s="42" t="s">
        <v>111</v>
      </c>
      <c r="B4" s="42">
        <v>1371.6387096774199</v>
      </c>
      <c r="C4" s="42">
        <v>1349.2274193548401</v>
      </c>
      <c r="D4" s="43">
        <f t="shared" ref="D4:D35" si="0">C4/B4-1</f>
        <v>-1.6339062294217777E-2</v>
      </c>
    </row>
    <row r="5" spans="1:4">
      <c r="A5" s="42" t="s">
        <v>114</v>
      </c>
      <c r="B5" s="42">
        <v>3382.3370967741798</v>
      </c>
      <c r="C5" s="42">
        <v>3532.95774193548</v>
      </c>
      <c r="D5" s="43">
        <f t="shared" si="0"/>
        <v>4.4531529783045753E-2</v>
      </c>
    </row>
    <row r="6" spans="1:4">
      <c r="A6" s="42" t="s">
        <v>334</v>
      </c>
      <c r="B6" s="42">
        <v>1260.1854838709701</v>
      </c>
      <c r="C6" s="42">
        <v>1076.95</v>
      </c>
      <c r="D6" s="43">
        <f t="shared" si="0"/>
        <v>-0.14540358242194407</v>
      </c>
    </row>
    <row r="7" spans="1:4">
      <c r="A7" s="42" t="s">
        <v>117</v>
      </c>
      <c r="B7" s="42">
        <v>1511.53548387097</v>
      </c>
      <c r="C7" s="42">
        <v>1521.90806451613</v>
      </c>
      <c r="D7" s="43">
        <f t="shared" si="0"/>
        <v>6.8622806118956436E-3</v>
      </c>
    </row>
    <row r="8" spans="1:4">
      <c r="A8" s="42" t="s">
        <v>119</v>
      </c>
      <c r="B8" s="42">
        <v>1168.5854838709699</v>
      </c>
      <c r="C8" s="42">
        <v>1232.3709677419399</v>
      </c>
      <c r="D8" s="43">
        <f t="shared" si="0"/>
        <v>5.4583498384456197E-2</v>
      </c>
    </row>
    <row r="9" spans="1:4">
      <c r="A9" s="42" t="s">
        <v>122</v>
      </c>
      <c r="B9" s="42">
        <v>5680.0612903225501</v>
      </c>
      <c r="C9" s="42">
        <v>4657.5990322580501</v>
      </c>
      <c r="D9" s="43">
        <f t="shared" si="0"/>
        <v>-0.1800090185305796</v>
      </c>
    </row>
    <row r="10" spans="1:4">
      <c r="A10" s="42" t="s">
        <v>124</v>
      </c>
      <c r="B10" s="42">
        <v>1760.9838709677399</v>
      </c>
      <c r="C10" s="42">
        <v>1612.9387096774201</v>
      </c>
      <c r="D10" s="43">
        <f t="shared" si="0"/>
        <v>-8.4069572544672067E-2</v>
      </c>
    </row>
    <row r="11" spans="1:4">
      <c r="A11" s="42" t="s">
        <v>126</v>
      </c>
      <c r="B11" s="42">
        <v>4535.4693548387004</v>
      </c>
      <c r="C11" s="42">
        <v>5975.4838709677197</v>
      </c>
      <c r="D11" s="43">
        <f t="shared" si="0"/>
        <v>0.31750066056398962</v>
      </c>
    </row>
    <row r="12" spans="1:4">
      <c r="A12" s="42" t="s">
        <v>335</v>
      </c>
      <c r="B12" s="42">
        <v>888.03870967742</v>
      </c>
      <c r="C12" s="42">
        <v>968.32</v>
      </c>
      <c r="D12" s="43">
        <f t="shared" si="0"/>
        <v>9.0402917629280211E-2</v>
      </c>
    </row>
    <row r="13" spans="1:4">
      <c r="A13" s="42" t="s">
        <v>129</v>
      </c>
      <c r="B13" s="42">
        <v>4064.4774193548201</v>
      </c>
      <c r="C13" s="42">
        <v>3540.3741935483799</v>
      </c>
      <c r="D13" s="43">
        <f t="shared" si="0"/>
        <v>-0.12894725981517063</v>
      </c>
    </row>
    <row r="14" spans="1:4">
      <c r="A14" s="42" t="s">
        <v>131</v>
      </c>
      <c r="B14" s="42">
        <v>2171.7800000000002</v>
      </c>
      <c r="C14" s="42">
        <v>2192.4499999999998</v>
      </c>
      <c r="D14" s="43">
        <f t="shared" si="0"/>
        <v>9.5175386088828251E-3</v>
      </c>
    </row>
    <row r="15" spans="1:4">
      <c r="A15" s="42" t="s">
        <v>133</v>
      </c>
      <c r="B15" s="42">
        <v>1642.5258064516099</v>
      </c>
      <c r="C15" s="42">
        <v>1697.8370967741901</v>
      </c>
      <c r="D15" s="43">
        <f t="shared" si="0"/>
        <v>3.3674533517418892E-2</v>
      </c>
    </row>
    <row r="16" spans="1:4">
      <c r="A16" s="42" t="s">
        <v>135</v>
      </c>
      <c r="B16" s="42">
        <v>1059.05322580645</v>
      </c>
      <c r="C16" s="42">
        <v>1128.7449999999999</v>
      </c>
      <c r="D16" s="43">
        <f t="shared" si="0"/>
        <v>6.5805733361966601E-2</v>
      </c>
    </row>
    <row r="17" spans="1:4">
      <c r="A17" s="42" t="s">
        <v>137</v>
      </c>
      <c r="B17" s="42">
        <v>4878.4225806451504</v>
      </c>
      <c r="C17" s="42">
        <v>4559.3454838709504</v>
      </c>
      <c r="D17" s="43">
        <f t="shared" si="0"/>
        <v>-6.5405792856100486E-2</v>
      </c>
    </row>
    <row r="18" spans="1:4">
      <c r="A18" s="42" t="s">
        <v>139</v>
      </c>
      <c r="B18" s="42">
        <v>4671.4693548386904</v>
      </c>
      <c r="C18" s="42">
        <v>4955.9193548386902</v>
      </c>
      <c r="D18" s="43">
        <f t="shared" si="0"/>
        <v>6.0890905707294829E-2</v>
      </c>
    </row>
    <row r="19" spans="1:4">
      <c r="A19" s="42" t="s">
        <v>141</v>
      </c>
      <c r="B19" s="42">
        <v>2981.4951612903201</v>
      </c>
      <c r="C19" s="42">
        <v>2915.30322580645</v>
      </c>
      <c r="D19" s="43">
        <f t="shared" si="0"/>
        <v>-2.2200919975742583E-2</v>
      </c>
    </row>
    <row r="20" spans="1:4">
      <c r="A20" s="42" t="s">
        <v>143</v>
      </c>
      <c r="B20" s="42">
        <v>2009.7209677419301</v>
      </c>
      <c r="C20" s="42">
        <v>1808.70483870968</v>
      </c>
      <c r="D20" s="43">
        <f t="shared" si="0"/>
        <v>-0.10002190963758839</v>
      </c>
    </row>
    <row r="21" spans="1:4">
      <c r="A21" s="42" t="s">
        <v>145</v>
      </c>
      <c r="B21" s="42">
        <v>2912.4564516128999</v>
      </c>
      <c r="C21" s="42">
        <v>3019.7580645161202</v>
      </c>
      <c r="D21" s="43">
        <f t="shared" si="0"/>
        <v>3.6842306378108258E-2</v>
      </c>
    </row>
    <row r="22" spans="1:4">
      <c r="A22" s="42" t="s">
        <v>147</v>
      </c>
      <c r="B22" s="42">
        <v>1009.76612903226</v>
      </c>
      <c r="C22" s="42">
        <v>921.51612903225896</v>
      </c>
      <c r="D22" s="43">
        <f t="shared" si="0"/>
        <v>-8.7396474750621844E-2</v>
      </c>
    </row>
    <row r="23" spans="1:4">
      <c r="A23" s="42" t="s">
        <v>149</v>
      </c>
      <c r="B23" s="42">
        <v>1758.39838709677</v>
      </c>
      <c r="C23" s="42">
        <v>1669.8967741935501</v>
      </c>
      <c r="D23" s="43">
        <f t="shared" si="0"/>
        <v>-5.0330808736319343E-2</v>
      </c>
    </row>
    <row r="24" spans="1:4">
      <c r="A24" s="42" t="s">
        <v>152</v>
      </c>
      <c r="B24" s="42">
        <v>2832.9258064516098</v>
      </c>
      <c r="C24" s="42">
        <v>2746.1047619047599</v>
      </c>
      <c r="D24" s="43">
        <f t="shared" si="0"/>
        <v>-3.0647129673896378E-2</v>
      </c>
    </row>
    <row r="25" spans="1:4">
      <c r="A25" s="42" t="s">
        <v>154</v>
      </c>
      <c r="B25" s="42">
        <v>1992.5096774193501</v>
      </c>
      <c r="C25" s="42">
        <v>1620.48096774194</v>
      </c>
      <c r="D25" s="43">
        <f t="shared" si="0"/>
        <v>-0.18671362748875209</v>
      </c>
    </row>
    <row r="26" spans="1:4">
      <c r="A26" s="42" t="s">
        <v>156</v>
      </c>
      <c r="B26" s="42">
        <v>1710.4129032258099</v>
      </c>
      <c r="C26" s="42">
        <v>1318.99677419355</v>
      </c>
      <c r="D26" s="43">
        <f t="shared" si="0"/>
        <v>-0.22884306373861873</v>
      </c>
    </row>
    <row r="27" spans="1:4">
      <c r="A27" s="42" t="s">
        <v>158</v>
      </c>
      <c r="B27" s="42">
        <v>1826.1641935483899</v>
      </c>
      <c r="C27" s="42">
        <v>1621.8564516128999</v>
      </c>
      <c r="D27" s="43">
        <f t="shared" si="0"/>
        <v>-0.11187807901243696</v>
      </c>
    </row>
    <row r="28" spans="1:4">
      <c r="A28" s="42" t="s">
        <v>160</v>
      </c>
      <c r="B28" s="42">
        <v>2353.4725806451602</v>
      </c>
      <c r="C28" s="42">
        <v>2322.6774193548399</v>
      </c>
      <c r="D28" s="43">
        <f t="shared" si="0"/>
        <v>-1.3084988345977822E-2</v>
      </c>
    </row>
    <row r="29" spans="1:4">
      <c r="A29" s="42" t="s">
        <v>336</v>
      </c>
      <c r="B29" s="42">
        <v>1028.2435483871</v>
      </c>
      <c r="C29" s="42">
        <v>1004.04032258065</v>
      </c>
      <c r="D29" s="43">
        <f t="shared" si="0"/>
        <v>-2.3538417376325893E-2</v>
      </c>
    </row>
    <row r="30" spans="1:4">
      <c r="A30" s="42" t="s">
        <v>162</v>
      </c>
      <c r="B30" s="42">
        <v>1318.55322580645</v>
      </c>
      <c r="C30" s="42">
        <v>1329.77096774194</v>
      </c>
      <c r="D30" s="43">
        <f t="shared" si="0"/>
        <v>8.5076140393416377E-3</v>
      </c>
    </row>
    <row r="31" spans="1:4">
      <c r="A31" s="42" t="s">
        <v>164</v>
      </c>
      <c r="B31" s="42">
        <v>1452.5483870967701</v>
      </c>
      <c r="C31" s="42">
        <v>1146.3951612903199</v>
      </c>
      <c r="D31" s="43">
        <f t="shared" si="0"/>
        <v>-0.21076972617646361</v>
      </c>
    </row>
    <row r="32" spans="1:4">
      <c r="A32" s="42" t="s">
        <v>167</v>
      </c>
      <c r="B32" s="42">
        <v>6410.7629032257901</v>
      </c>
      <c r="C32" s="42">
        <v>6455.7403225806302</v>
      </c>
      <c r="D32" s="43">
        <f t="shared" si="0"/>
        <v>7.0159230709043729E-3</v>
      </c>
    </row>
    <row r="33" spans="1:4">
      <c r="A33" s="42" t="s">
        <v>170</v>
      </c>
      <c r="B33" s="42">
        <v>2218.91161290323</v>
      </c>
      <c r="C33" s="42">
        <v>2017.9693548387099</v>
      </c>
      <c r="D33" s="43">
        <f t="shared" si="0"/>
        <v>-9.0558928483684187E-2</v>
      </c>
    </row>
    <row r="34" spans="1:4">
      <c r="A34" s="42" t="s">
        <v>172</v>
      </c>
      <c r="B34" s="42">
        <v>1015.35</v>
      </c>
      <c r="C34" s="42">
        <v>1012.1935483871</v>
      </c>
      <c r="D34" s="43">
        <f t="shared" si="0"/>
        <v>-3.1087325679814981E-3</v>
      </c>
    </row>
    <row r="35" spans="1:4">
      <c r="A35" s="42" t="s">
        <v>175</v>
      </c>
      <c r="B35" s="42">
        <v>2361.9532258064501</v>
      </c>
      <c r="C35" s="42">
        <v>2862.2032258064501</v>
      </c>
      <c r="D35" s="43">
        <f t="shared" si="0"/>
        <v>0.21179504934065663</v>
      </c>
    </row>
    <row r="36" spans="1:4">
      <c r="A36" s="42" t="s">
        <v>178</v>
      </c>
      <c r="B36" s="42">
        <v>1507.0161290322601</v>
      </c>
      <c r="C36" s="42">
        <v>1339.0193548387099</v>
      </c>
      <c r="D36" s="43">
        <f t="shared" ref="D36:D62" si="1">C36/B36-1</f>
        <v>-0.11147642746294317</v>
      </c>
    </row>
    <row r="37" spans="1:4">
      <c r="A37" s="42" t="s">
        <v>180</v>
      </c>
      <c r="B37" s="42">
        <v>1237.4306451612899</v>
      </c>
      <c r="C37" s="42">
        <v>1033.1080645161301</v>
      </c>
      <c r="D37" s="43">
        <f t="shared" si="1"/>
        <v>-0.16511841002493355</v>
      </c>
    </row>
    <row r="38" spans="1:4">
      <c r="A38" s="42" t="s">
        <v>183</v>
      </c>
      <c r="B38" s="42">
        <v>1749.14838709677</v>
      </c>
      <c r="C38" s="42">
        <v>1789.29516129032</v>
      </c>
      <c r="D38" s="43">
        <f t="shared" si="1"/>
        <v>2.2952183182231689E-2</v>
      </c>
    </row>
    <row r="39" spans="1:4">
      <c r="A39" s="42" t="s">
        <v>185</v>
      </c>
      <c r="B39" s="42">
        <v>4679.0006451612799</v>
      </c>
      <c r="C39" s="42">
        <v>6147.77193548386</v>
      </c>
      <c r="D39" s="43">
        <f t="shared" si="1"/>
        <v>0.31390705018206999</v>
      </c>
    </row>
    <row r="40" spans="1:4">
      <c r="A40" s="42" t="s">
        <v>187</v>
      </c>
      <c r="B40" s="42">
        <v>1190.3</v>
      </c>
      <c r="C40" s="42">
        <v>1185.7970967741901</v>
      </c>
      <c r="D40" s="43">
        <f t="shared" si="1"/>
        <v>-3.7829985934720867E-3</v>
      </c>
    </row>
    <row r="41" spans="1:4">
      <c r="A41" s="42" t="s">
        <v>337</v>
      </c>
      <c r="B41" s="42">
        <v>2063.2292307692301</v>
      </c>
      <c r="C41" s="42">
        <v>1816.67962962963</v>
      </c>
      <c r="D41" s="43">
        <f t="shared" si="1"/>
        <v>-0.11949695044194364</v>
      </c>
    </row>
    <row r="42" spans="1:4">
      <c r="A42" s="42" t="s">
        <v>190</v>
      </c>
      <c r="B42" s="42">
        <v>3024.0096774193498</v>
      </c>
      <c r="C42" s="42">
        <v>2814.4</v>
      </c>
      <c r="D42" s="43">
        <f t="shared" si="1"/>
        <v>-6.9315147694311574E-2</v>
      </c>
    </row>
    <row r="43" spans="1:4">
      <c r="A43" s="42" t="s">
        <v>192</v>
      </c>
      <c r="B43" s="42">
        <v>1509.5467741935499</v>
      </c>
      <c r="C43" s="42">
        <v>1471.2529032258101</v>
      </c>
      <c r="D43" s="43">
        <f t="shared" si="1"/>
        <v>-2.5367793580425957E-2</v>
      </c>
    </row>
    <row r="44" spans="1:4">
      <c r="A44" s="42" t="s">
        <v>195</v>
      </c>
      <c r="B44" s="42">
        <v>3158.0324999999998</v>
      </c>
      <c r="C44" s="42">
        <v>1876.1122580645199</v>
      </c>
      <c r="D44" s="43">
        <f t="shared" si="1"/>
        <v>-0.40592370152475632</v>
      </c>
    </row>
    <row r="45" spans="1:4">
      <c r="A45" s="42" t="s">
        <v>198</v>
      </c>
      <c r="B45" s="42">
        <v>1294.9435483871</v>
      </c>
      <c r="C45" s="42">
        <v>936.58870967741996</v>
      </c>
      <c r="D45" s="43">
        <f t="shared" si="1"/>
        <v>-0.27673394655390515</v>
      </c>
    </row>
    <row r="46" spans="1:4">
      <c r="A46" s="42" t="s">
        <v>200</v>
      </c>
      <c r="B46" s="42">
        <v>1030.4483870967799</v>
      </c>
      <c r="C46" s="42">
        <v>928.23064516129102</v>
      </c>
      <c r="D46" s="43">
        <f t="shared" si="1"/>
        <v>-9.9197342841673586E-2</v>
      </c>
    </row>
    <row r="47" spans="1:4">
      <c r="A47" s="42" t="s">
        <v>202</v>
      </c>
      <c r="B47" s="42">
        <v>1917.95806451613</v>
      </c>
      <c r="C47" s="42">
        <v>2130.6022580645199</v>
      </c>
      <c r="D47" s="43">
        <f t="shared" si="1"/>
        <v>0.11087009538033699</v>
      </c>
    </row>
    <row r="48" spans="1:4">
      <c r="A48" s="42" t="s">
        <v>204</v>
      </c>
      <c r="B48" s="42">
        <v>890.32333333333395</v>
      </c>
      <c r="C48" s="42">
        <v>733.91774193548395</v>
      </c>
      <c r="D48" s="43">
        <f t="shared" si="1"/>
        <v>-0.17567279834425309</v>
      </c>
    </row>
    <row r="49" spans="1:4">
      <c r="A49" s="42" t="s">
        <v>207</v>
      </c>
      <c r="B49" s="42">
        <v>2078.4838709677401</v>
      </c>
      <c r="C49" s="42">
        <v>1840.2129032258099</v>
      </c>
      <c r="D49" s="43">
        <f t="shared" si="1"/>
        <v>-0.11463690965809203</v>
      </c>
    </row>
    <row r="50" spans="1:4">
      <c r="A50" s="42" t="s">
        <v>209</v>
      </c>
      <c r="B50" s="42">
        <v>1069.9709677419401</v>
      </c>
      <c r="C50" s="42">
        <v>1084.6862068965499</v>
      </c>
      <c r="D50" s="43">
        <f t="shared" si="1"/>
        <v>1.3752933115245947E-2</v>
      </c>
    </row>
    <row r="51" spans="1:4">
      <c r="A51" s="42" t="s">
        <v>211</v>
      </c>
      <c r="B51" s="42">
        <v>2000.22451612903</v>
      </c>
      <c r="C51" s="42">
        <v>1595.9641935483901</v>
      </c>
      <c r="D51" s="43">
        <f t="shared" si="1"/>
        <v>-0.20210747309656607</v>
      </c>
    </row>
    <row r="52" spans="1:4">
      <c r="A52" s="42" t="s">
        <v>213</v>
      </c>
      <c r="B52" s="42">
        <v>996.90161290322601</v>
      </c>
      <c r="C52" s="42">
        <v>895.59677419354898</v>
      </c>
      <c r="D52" s="43">
        <f t="shared" si="1"/>
        <v>-0.10161969586412056</v>
      </c>
    </row>
    <row r="53" spans="1:4">
      <c r="A53" s="42" t="s">
        <v>338</v>
      </c>
      <c r="B53" s="42">
        <v>1893.46774193548</v>
      </c>
      <c r="C53" s="42">
        <v>1221.91129032258</v>
      </c>
      <c r="D53" s="43">
        <f t="shared" si="1"/>
        <v>-0.35467013075514187</v>
      </c>
    </row>
    <row r="54" spans="1:4">
      <c r="A54" s="42" t="s">
        <v>339</v>
      </c>
      <c r="B54" s="42">
        <v>991.67580645161297</v>
      </c>
      <c r="C54" s="42">
        <v>657.45172413793102</v>
      </c>
      <c r="D54" s="43">
        <f t="shared" si="1"/>
        <v>-0.33702958178398379</v>
      </c>
    </row>
    <row r="55" spans="1:4">
      <c r="A55" s="42" t="s">
        <v>215</v>
      </c>
      <c r="B55" s="42">
        <v>4500.5154838709605</v>
      </c>
      <c r="C55" s="42">
        <v>3495.1096774193502</v>
      </c>
      <c r="D55" s="43">
        <f t="shared" si="1"/>
        <v>-0.22339792187246199</v>
      </c>
    </row>
    <row r="56" spans="1:4">
      <c r="A56" s="42" t="s">
        <v>217</v>
      </c>
      <c r="B56" s="42">
        <v>8909.8496774193409</v>
      </c>
      <c r="C56" s="42">
        <v>7728.7064516128803</v>
      </c>
      <c r="D56" s="43">
        <f t="shared" si="1"/>
        <v>-0.13256601049060213</v>
      </c>
    </row>
    <row r="57" spans="1:4">
      <c r="A57" s="42" t="s">
        <v>220</v>
      </c>
      <c r="B57" s="42">
        <v>3152.8435483870899</v>
      </c>
      <c r="C57" s="42">
        <v>2701.71451612903</v>
      </c>
      <c r="D57" s="43">
        <f t="shared" si="1"/>
        <v>-0.14308639973234494</v>
      </c>
    </row>
    <row r="58" spans="1:4">
      <c r="A58" s="42" t="s">
        <v>222</v>
      </c>
      <c r="B58" s="42">
        <v>1616.41333333333</v>
      </c>
      <c r="C58" s="42">
        <v>1683.07741935484</v>
      </c>
      <c r="D58" s="43">
        <f t="shared" si="1"/>
        <v>4.1241979787457472E-2</v>
      </c>
    </row>
    <row r="59" spans="1:4">
      <c r="A59" s="42" t="s">
        <v>224</v>
      </c>
      <c r="B59" s="42">
        <v>2334.1719354838701</v>
      </c>
      <c r="C59" s="42">
        <v>2461.5680645161301</v>
      </c>
      <c r="D59" s="43">
        <f t="shared" si="1"/>
        <v>5.4578725369624825E-2</v>
      </c>
    </row>
    <row r="60" spans="1:4">
      <c r="A60" s="42" t="s">
        <v>229</v>
      </c>
      <c r="B60" s="42">
        <v>2033.625</v>
      </c>
      <c r="C60" s="42">
        <v>1941.8090322580599</v>
      </c>
      <c r="D60" s="43">
        <f t="shared" si="1"/>
        <v>-4.5148917692268808E-2</v>
      </c>
    </row>
    <row r="61" spans="1:4">
      <c r="A61" s="42" t="s">
        <v>236</v>
      </c>
      <c r="B61" s="42">
        <v>3789.3174193548298</v>
      </c>
      <c r="C61" s="42">
        <v>3706.7258064516</v>
      </c>
      <c r="D61" s="43">
        <f t="shared" si="1"/>
        <v>-2.1795907748813459E-2</v>
      </c>
    </row>
    <row r="62" spans="1:4">
      <c r="A62" s="42" t="s">
        <v>32</v>
      </c>
      <c r="B62" s="42">
        <f>AVERAGE(B2:B61)</f>
        <v>2335.5075404948971</v>
      </c>
      <c r="C62" s="42">
        <f>AVERAGE(C2:C61)</f>
        <v>2226.1207026879733</v>
      </c>
      <c r="D62" s="43">
        <f t="shared" si="1"/>
        <v>-4.6836431015651714E-2</v>
      </c>
    </row>
  </sheetData>
  <phoneticPr fontId="12" type="noConversion"/>
  <pageMargins left="0.75" right="0.75" top="1" bottom="1" header="0.5" footer="0.5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L41"/>
  <sheetViews>
    <sheetView workbookViewId="0">
      <selection activeCell="L11" sqref="L11:L28"/>
    </sheetView>
  </sheetViews>
  <sheetFormatPr defaultColWidth="8.875" defaultRowHeight="14.25"/>
  <cols>
    <col min="8" max="8" width="9.125"/>
    <col min="9" max="9" width="10.125"/>
    <col min="10" max="10" width="15.625" customWidth="1"/>
    <col min="12" max="12" width="11.625"/>
  </cols>
  <sheetData>
    <row r="2" spans="1:12" ht="45" hidden="1">
      <c r="A2" s="1" t="s">
        <v>340</v>
      </c>
      <c r="B2" s="2" t="s">
        <v>341</v>
      </c>
      <c r="C2" s="3" t="s">
        <v>342</v>
      </c>
      <c r="D2" s="4" t="s">
        <v>343</v>
      </c>
      <c r="E2" s="5">
        <v>145</v>
      </c>
      <c r="F2" s="6">
        <v>3000</v>
      </c>
      <c r="G2" s="7" t="s">
        <v>344</v>
      </c>
      <c r="H2" s="8">
        <v>44992</v>
      </c>
      <c r="I2" s="32">
        <v>45005</v>
      </c>
      <c r="J2" s="13" t="s">
        <v>345</v>
      </c>
      <c r="K2" t="str">
        <f>VLOOKUP(A2,明细!B:D,3,0)</f>
        <v>West</v>
      </c>
    </row>
    <row r="3" spans="1:12" ht="30" hidden="1">
      <c r="A3" s="1" t="s">
        <v>346</v>
      </c>
      <c r="B3" s="2" t="s">
        <v>347</v>
      </c>
      <c r="C3" s="3" t="s">
        <v>342</v>
      </c>
      <c r="D3" s="4" t="s">
        <v>348</v>
      </c>
      <c r="E3" s="5" t="s">
        <v>349</v>
      </c>
      <c r="F3" s="6">
        <v>2800</v>
      </c>
      <c r="G3" s="7" t="s">
        <v>350</v>
      </c>
      <c r="H3" s="8">
        <v>44941</v>
      </c>
      <c r="I3" s="33">
        <v>45020</v>
      </c>
      <c r="J3" s="34" t="s">
        <v>345</v>
      </c>
      <c r="K3" t="e">
        <f>VLOOKUP(A3,明细!B:D,3,0)</f>
        <v>#N/A</v>
      </c>
    </row>
    <row r="4" spans="1:12" ht="30" hidden="1">
      <c r="A4" s="1" t="s">
        <v>351</v>
      </c>
      <c r="B4" s="9" t="s">
        <v>352</v>
      </c>
      <c r="C4" s="3" t="s">
        <v>342</v>
      </c>
      <c r="D4" s="4" t="s">
        <v>353</v>
      </c>
      <c r="E4" s="5" t="s">
        <v>354</v>
      </c>
      <c r="F4" s="6">
        <v>4810</v>
      </c>
      <c r="G4" s="7" t="s">
        <v>355</v>
      </c>
      <c r="H4" s="8">
        <v>45026</v>
      </c>
      <c r="I4" s="13">
        <v>45030</v>
      </c>
      <c r="J4" s="35">
        <v>45051</v>
      </c>
      <c r="K4" t="str">
        <f>VLOOKUP(A4,明细!B:D,3,0)</f>
        <v>East</v>
      </c>
    </row>
    <row r="5" spans="1:12" ht="45" hidden="1">
      <c r="A5" s="1" t="s">
        <v>356</v>
      </c>
      <c r="B5" s="2" t="s">
        <v>286</v>
      </c>
      <c r="C5" s="3" t="s">
        <v>342</v>
      </c>
      <c r="D5" s="4" t="s">
        <v>348</v>
      </c>
      <c r="E5" s="5">
        <v>2280</v>
      </c>
      <c r="F5" s="6">
        <v>2201</v>
      </c>
      <c r="G5" s="7" t="s">
        <v>357</v>
      </c>
      <c r="H5" s="8">
        <v>45048</v>
      </c>
      <c r="I5" s="13">
        <v>45050</v>
      </c>
      <c r="J5" s="13">
        <v>45062</v>
      </c>
      <c r="K5" t="str">
        <f>VLOOKUP(A5,明细!B:D,3,0)</f>
        <v>West</v>
      </c>
    </row>
    <row r="6" spans="1:12" ht="30" hidden="1">
      <c r="A6" s="1" t="s">
        <v>358</v>
      </c>
      <c r="B6" s="2" t="s">
        <v>359</v>
      </c>
      <c r="C6" s="3" t="s">
        <v>342</v>
      </c>
      <c r="D6" s="4" t="s">
        <v>360</v>
      </c>
      <c r="E6" s="5">
        <v>1218</v>
      </c>
      <c r="F6" s="6">
        <v>4020</v>
      </c>
      <c r="G6" s="7" t="s">
        <v>361</v>
      </c>
      <c r="H6" s="8">
        <v>45047</v>
      </c>
      <c r="I6" s="13">
        <v>45061</v>
      </c>
      <c r="J6" s="13">
        <v>45083</v>
      </c>
      <c r="K6" t="str">
        <f>VLOOKUP(A6,明细!B:D,3,0)</f>
        <v>East</v>
      </c>
    </row>
    <row r="7" spans="1:12" ht="30" hidden="1">
      <c r="A7" s="1" t="s">
        <v>362</v>
      </c>
      <c r="B7" s="10" t="s">
        <v>363</v>
      </c>
      <c r="C7" s="11" t="s">
        <v>364</v>
      </c>
      <c r="D7" s="4" t="s">
        <v>360</v>
      </c>
      <c r="E7" s="5">
        <v>2925</v>
      </c>
      <c r="F7" s="6">
        <v>4492</v>
      </c>
      <c r="G7" s="7" t="s">
        <v>365</v>
      </c>
      <c r="H7" s="12">
        <v>45024</v>
      </c>
      <c r="I7" s="13">
        <v>45075</v>
      </c>
      <c r="J7" s="13">
        <v>45096</v>
      </c>
      <c r="K7" t="str">
        <f>VLOOKUP(A7,明细!B:D,3,0)</f>
        <v>East</v>
      </c>
    </row>
    <row r="8" spans="1:12" ht="15" hidden="1">
      <c r="A8" s="1" t="s">
        <v>366</v>
      </c>
      <c r="B8" s="7" t="s">
        <v>367</v>
      </c>
      <c r="C8" s="11" t="s">
        <v>364</v>
      </c>
      <c r="D8" s="4" t="s">
        <v>360</v>
      </c>
      <c r="E8" s="5" t="s">
        <v>368</v>
      </c>
      <c r="F8" s="6">
        <v>5637</v>
      </c>
      <c r="G8" s="7" t="s">
        <v>357</v>
      </c>
      <c r="H8" s="12">
        <v>45061</v>
      </c>
      <c r="I8" s="13">
        <v>45075</v>
      </c>
      <c r="J8" s="13">
        <v>45100</v>
      </c>
      <c r="K8" t="str">
        <f>VLOOKUP(A8,明细!B:D,3,0)</f>
        <v>West</v>
      </c>
    </row>
    <row r="9" spans="1:12" ht="45" hidden="1">
      <c r="A9" s="1" t="s">
        <v>369</v>
      </c>
      <c r="B9" s="10" t="s">
        <v>370</v>
      </c>
      <c r="C9" s="11" t="s">
        <v>371</v>
      </c>
      <c r="D9" s="4" t="s">
        <v>360</v>
      </c>
      <c r="E9" s="5">
        <v>172</v>
      </c>
      <c r="F9" s="6">
        <v>4493</v>
      </c>
      <c r="G9" s="7" t="s">
        <v>357</v>
      </c>
      <c r="H9" s="12">
        <v>45047</v>
      </c>
      <c r="I9" s="13">
        <v>45060</v>
      </c>
      <c r="J9" s="36">
        <v>45114</v>
      </c>
      <c r="K9" t="str">
        <f>VLOOKUP(A9,明细!B:D,3,0)</f>
        <v>West</v>
      </c>
    </row>
    <row r="10" spans="1:12" ht="30" hidden="1">
      <c r="A10" s="1" t="s">
        <v>372</v>
      </c>
      <c r="B10" s="10" t="s">
        <v>373</v>
      </c>
      <c r="C10" s="11" t="s">
        <v>371</v>
      </c>
      <c r="D10" s="4" t="s">
        <v>374</v>
      </c>
      <c r="E10" s="5">
        <v>2074</v>
      </c>
      <c r="F10" s="6">
        <v>3502</v>
      </c>
      <c r="G10" s="7" t="s">
        <v>375</v>
      </c>
      <c r="H10" s="12">
        <v>45047</v>
      </c>
      <c r="I10" s="13">
        <v>45080</v>
      </c>
      <c r="J10" s="36">
        <v>45120</v>
      </c>
      <c r="K10" t="str">
        <f>VLOOKUP(A10,明细!B:D,3,0)</f>
        <v>West</v>
      </c>
    </row>
    <row r="11" spans="1:12" ht="15">
      <c r="A11" s="1" t="s">
        <v>376</v>
      </c>
      <c r="B11" s="7" t="s">
        <v>377</v>
      </c>
      <c r="C11" s="11" t="s">
        <v>371</v>
      </c>
      <c r="D11" s="4" t="s">
        <v>374</v>
      </c>
      <c r="E11" s="5">
        <v>1190</v>
      </c>
      <c r="F11" s="6">
        <v>3898</v>
      </c>
      <c r="G11" s="7" t="s">
        <v>378</v>
      </c>
      <c r="H11" s="12">
        <v>45055</v>
      </c>
      <c r="I11" s="13">
        <v>45090</v>
      </c>
      <c r="J11" s="36">
        <v>45117</v>
      </c>
      <c r="K11" t="str">
        <f>VLOOKUP(A11,明细!B:D,3,0)</f>
        <v>West</v>
      </c>
      <c r="L11">
        <f>F11*0.092903</f>
        <v>362.13589400000001</v>
      </c>
    </row>
    <row r="12" spans="1:12" ht="30" hidden="1">
      <c r="A12" s="1" t="s">
        <v>379</v>
      </c>
      <c r="B12" s="10" t="s">
        <v>380</v>
      </c>
      <c r="C12" s="11" t="s">
        <v>371</v>
      </c>
      <c r="D12" s="4" t="s">
        <v>374</v>
      </c>
      <c r="E12" s="5">
        <v>2470</v>
      </c>
      <c r="F12" s="6">
        <v>2871</v>
      </c>
      <c r="G12" s="7" t="s">
        <v>381</v>
      </c>
      <c r="H12" s="12">
        <v>45024</v>
      </c>
      <c r="I12" s="13">
        <v>45107</v>
      </c>
      <c r="J12" s="13">
        <v>45117</v>
      </c>
      <c r="K12" t="str">
        <f>VLOOKUP(A12,明细!B:D,3,0)</f>
        <v>West</v>
      </c>
    </row>
    <row r="13" spans="1:12" ht="30" hidden="1">
      <c r="A13" s="1" t="s">
        <v>382</v>
      </c>
      <c r="B13" s="10" t="s">
        <v>383</v>
      </c>
      <c r="C13" s="11" t="s">
        <v>371</v>
      </c>
      <c r="D13" s="4" t="s">
        <v>384</v>
      </c>
      <c r="E13" s="5" t="s">
        <v>385</v>
      </c>
      <c r="F13" s="6">
        <v>4660</v>
      </c>
      <c r="G13" s="7" t="s">
        <v>357</v>
      </c>
      <c r="H13" s="12">
        <v>45078</v>
      </c>
      <c r="I13" s="13">
        <v>45103</v>
      </c>
      <c r="J13" s="13">
        <v>45123</v>
      </c>
      <c r="K13" t="str">
        <f>VLOOKUP(A13,明细!B:D,3,0)</f>
        <v>West</v>
      </c>
    </row>
    <row r="14" spans="1:12" ht="15">
      <c r="A14" s="1" t="s">
        <v>386</v>
      </c>
      <c r="B14" s="7" t="s">
        <v>387</v>
      </c>
      <c r="C14" s="11" t="s">
        <v>371</v>
      </c>
      <c r="D14" s="4" t="s">
        <v>374</v>
      </c>
      <c r="E14" s="5">
        <v>1060</v>
      </c>
      <c r="F14" s="6">
        <v>4423</v>
      </c>
      <c r="G14" s="7" t="s">
        <v>378</v>
      </c>
      <c r="H14" s="12">
        <v>45093</v>
      </c>
      <c r="I14" s="13">
        <v>45097</v>
      </c>
      <c r="J14" s="13">
        <v>45124</v>
      </c>
      <c r="K14" t="str">
        <f>VLOOKUP(A14,明细!B:D,3,0)</f>
        <v>West</v>
      </c>
      <c r="L14">
        <f>F14*0.092903</f>
        <v>410.90996899999999</v>
      </c>
    </row>
    <row r="15" spans="1:12" ht="30" hidden="1">
      <c r="A15" s="1" t="s">
        <v>388</v>
      </c>
      <c r="B15" s="10" t="s">
        <v>389</v>
      </c>
      <c r="C15" s="11" t="s">
        <v>371</v>
      </c>
      <c r="D15" s="4" t="s">
        <v>360</v>
      </c>
      <c r="E15" s="5">
        <v>1241</v>
      </c>
      <c r="F15" s="6">
        <v>3502</v>
      </c>
      <c r="G15" s="7" t="s">
        <v>381</v>
      </c>
      <c r="H15" s="12">
        <v>45042</v>
      </c>
      <c r="I15" s="13">
        <v>45117</v>
      </c>
      <c r="J15" s="36">
        <v>45124</v>
      </c>
      <c r="K15" t="str">
        <f>VLOOKUP(A15,明细!B:D,3,0)</f>
        <v>West</v>
      </c>
    </row>
    <row r="16" spans="1:12" ht="15">
      <c r="A16" s="1" t="s">
        <v>390</v>
      </c>
      <c r="B16" s="10" t="s">
        <v>391</v>
      </c>
      <c r="C16" s="11" t="s">
        <v>371</v>
      </c>
      <c r="D16" s="4" t="s">
        <v>348</v>
      </c>
      <c r="E16" s="5">
        <v>168</v>
      </c>
      <c r="F16" s="6">
        <v>3611</v>
      </c>
      <c r="G16" s="7" t="s">
        <v>392</v>
      </c>
      <c r="H16" s="12">
        <v>45078</v>
      </c>
      <c r="I16" s="13">
        <v>45103</v>
      </c>
      <c r="J16" s="13">
        <v>45129</v>
      </c>
      <c r="K16" t="str">
        <f>VLOOKUP(A16,明细!B:D,3,0)</f>
        <v>East</v>
      </c>
      <c r="L16">
        <f>F16*0.092903</f>
        <v>335.47273300000001</v>
      </c>
    </row>
    <row r="17" spans="1:12" ht="45">
      <c r="A17" s="1" t="s">
        <v>393</v>
      </c>
      <c r="B17" s="10" t="s">
        <v>394</v>
      </c>
      <c r="C17" s="11" t="s">
        <v>371</v>
      </c>
      <c r="D17" s="4" t="s">
        <v>360</v>
      </c>
      <c r="E17" s="5">
        <v>853</v>
      </c>
      <c r="F17" s="6">
        <v>3357</v>
      </c>
      <c r="G17" s="7" t="s">
        <v>395</v>
      </c>
      <c r="H17" s="12">
        <v>45047</v>
      </c>
      <c r="I17" s="13">
        <v>45101</v>
      </c>
      <c r="J17" s="13">
        <v>45131</v>
      </c>
      <c r="K17" t="str">
        <f>VLOOKUP(A17,明细!B:D,3,0)</f>
        <v>East</v>
      </c>
      <c r="L17">
        <f>F17*0.092903</f>
        <v>311.87537099999997</v>
      </c>
    </row>
    <row r="18" spans="1:12" ht="15">
      <c r="A18" s="1" t="s">
        <v>396</v>
      </c>
      <c r="B18" s="10" t="s">
        <v>397</v>
      </c>
      <c r="C18" s="11" t="s">
        <v>371</v>
      </c>
      <c r="D18" s="4" t="s">
        <v>360</v>
      </c>
      <c r="E18" s="5" t="s">
        <v>398</v>
      </c>
      <c r="F18" s="6">
        <v>3435</v>
      </c>
      <c r="G18" s="7" t="s">
        <v>399</v>
      </c>
      <c r="H18" s="12">
        <v>45047</v>
      </c>
      <c r="I18" s="13">
        <v>45112</v>
      </c>
      <c r="J18" s="13">
        <v>45135</v>
      </c>
      <c r="K18" t="str">
        <f>VLOOKUP(A18,明细!B:D,3,0)</f>
        <v>West</v>
      </c>
      <c r="L18">
        <f>F18*0.092903</f>
        <v>319.12180499999999</v>
      </c>
    </row>
    <row r="19" spans="1:12" ht="30" hidden="1">
      <c r="A19" s="1" t="s">
        <v>400</v>
      </c>
      <c r="B19" s="10" t="s">
        <v>401</v>
      </c>
      <c r="C19" s="11" t="s">
        <v>402</v>
      </c>
      <c r="D19" s="4" t="s">
        <v>360</v>
      </c>
      <c r="E19" s="5" t="s">
        <v>403</v>
      </c>
      <c r="F19" s="6">
        <v>5503</v>
      </c>
      <c r="G19" s="7" t="s">
        <v>404</v>
      </c>
      <c r="H19" s="12">
        <v>45054</v>
      </c>
      <c r="I19" s="37"/>
      <c r="J19" s="13">
        <v>45132</v>
      </c>
      <c r="K19" t="e">
        <f>VLOOKUP(A19,明细!B:D,3,0)</f>
        <v>#N/A</v>
      </c>
    </row>
    <row r="20" spans="1:12" ht="30" hidden="1">
      <c r="A20" s="1" t="s">
        <v>405</v>
      </c>
      <c r="B20" s="10" t="s">
        <v>406</v>
      </c>
      <c r="C20" s="11" t="s">
        <v>402</v>
      </c>
      <c r="D20" s="4" t="s">
        <v>360</v>
      </c>
      <c r="E20" s="5">
        <v>359</v>
      </c>
      <c r="F20" s="6">
        <v>3766</v>
      </c>
      <c r="G20" s="7" t="s">
        <v>378</v>
      </c>
      <c r="H20" s="13">
        <v>45078</v>
      </c>
      <c r="I20" s="26"/>
      <c r="J20" s="26">
        <v>45155</v>
      </c>
      <c r="K20" t="str">
        <f>VLOOKUP(A20,明细!B:D,3,0)</f>
        <v>West</v>
      </c>
    </row>
    <row r="21" spans="1:12" ht="15" hidden="1">
      <c r="A21" s="14" t="s">
        <v>407</v>
      </c>
      <c r="B21" s="15" t="s">
        <v>408</v>
      </c>
      <c r="C21" s="11" t="s">
        <v>402</v>
      </c>
      <c r="D21" s="4" t="s">
        <v>348</v>
      </c>
      <c r="E21" s="5" t="s">
        <v>409</v>
      </c>
      <c r="F21" s="6">
        <v>2880</v>
      </c>
      <c r="G21" s="7" t="s">
        <v>410</v>
      </c>
      <c r="H21" s="13">
        <v>45047</v>
      </c>
      <c r="I21" s="26"/>
      <c r="J21" s="28">
        <v>45184</v>
      </c>
      <c r="K21" t="e">
        <f>VLOOKUP(A21,明细!B:D,3,0)</f>
        <v>#N/A</v>
      </c>
    </row>
    <row r="22" spans="1:12" ht="15">
      <c r="A22" s="4" t="s">
        <v>411</v>
      </c>
      <c r="B22" s="16" t="s">
        <v>412</v>
      </c>
      <c r="C22" s="11" t="s">
        <v>413</v>
      </c>
      <c r="D22" s="1" t="s">
        <v>360</v>
      </c>
      <c r="E22" s="5">
        <v>1143</v>
      </c>
      <c r="F22" s="6">
        <v>3397</v>
      </c>
      <c r="G22" s="7" t="s">
        <v>414</v>
      </c>
      <c r="H22" s="13">
        <v>45108</v>
      </c>
      <c r="I22" s="26"/>
      <c r="J22" s="38">
        <v>45132</v>
      </c>
      <c r="K22" t="str">
        <f>VLOOKUP(A22,明细!B:D,3,0)</f>
        <v>East</v>
      </c>
      <c r="L22">
        <f t="shared" ref="L22:L28" si="0">F22*0.092903</f>
        <v>315.59149100000002</v>
      </c>
    </row>
    <row r="23" spans="1:12" ht="15">
      <c r="A23" s="4" t="s">
        <v>415</v>
      </c>
      <c r="B23" s="17" t="s">
        <v>416</v>
      </c>
      <c r="C23" s="11" t="s">
        <v>413</v>
      </c>
      <c r="D23" s="1" t="s">
        <v>343</v>
      </c>
      <c r="E23" s="5">
        <v>263</v>
      </c>
      <c r="F23" s="6">
        <v>4039</v>
      </c>
      <c r="G23" s="7" t="s">
        <v>378</v>
      </c>
      <c r="H23" s="12">
        <v>45108</v>
      </c>
      <c r="I23" s="39"/>
      <c r="J23" s="38">
        <v>45135</v>
      </c>
      <c r="K23" t="str">
        <f>VLOOKUP(A23,明细!B:D,3,0)</f>
        <v>West</v>
      </c>
      <c r="L23">
        <f t="shared" si="0"/>
        <v>375.23521699999998</v>
      </c>
    </row>
    <row r="24" spans="1:12" ht="15">
      <c r="A24" s="4" t="s">
        <v>417</v>
      </c>
      <c r="B24" s="17" t="s">
        <v>418</v>
      </c>
      <c r="C24" s="11" t="s">
        <v>413</v>
      </c>
      <c r="D24" s="1" t="s">
        <v>419</v>
      </c>
      <c r="E24" s="5" t="s">
        <v>420</v>
      </c>
      <c r="F24" s="6">
        <v>4053</v>
      </c>
      <c r="G24" s="7" t="s">
        <v>421</v>
      </c>
      <c r="H24" s="12">
        <v>45108</v>
      </c>
      <c r="I24" s="39"/>
      <c r="J24" s="38">
        <v>45135</v>
      </c>
      <c r="K24" t="str">
        <f>VLOOKUP(A24,明细!B:D,3,0)</f>
        <v>East</v>
      </c>
      <c r="L24">
        <f t="shared" si="0"/>
        <v>376.53585900000002</v>
      </c>
    </row>
    <row r="25" spans="1:12" ht="15">
      <c r="A25" s="4" t="s">
        <v>422</v>
      </c>
      <c r="B25" s="17" t="s">
        <v>423</v>
      </c>
      <c r="C25" s="11" t="s">
        <v>413</v>
      </c>
      <c r="D25" s="1" t="s">
        <v>424</v>
      </c>
      <c r="E25" s="5" t="s">
        <v>425</v>
      </c>
      <c r="F25" s="6">
        <v>3000</v>
      </c>
      <c r="G25" s="7" t="s">
        <v>426</v>
      </c>
      <c r="H25" s="12">
        <v>45108</v>
      </c>
      <c r="I25" s="39"/>
      <c r="J25" s="28">
        <v>45135</v>
      </c>
      <c r="K25" t="e">
        <f>VLOOKUP(A25,明细!B:D,3,0)</f>
        <v>#N/A</v>
      </c>
      <c r="L25">
        <f t="shared" si="0"/>
        <v>278.709</v>
      </c>
    </row>
    <row r="26" spans="1:12" ht="15">
      <c r="A26" s="4" t="s">
        <v>427</v>
      </c>
      <c r="B26" s="17" t="s">
        <v>428</v>
      </c>
      <c r="C26" s="11" t="s">
        <v>413</v>
      </c>
      <c r="D26" s="1" t="s">
        <v>360</v>
      </c>
      <c r="E26" s="5">
        <v>714</v>
      </c>
      <c r="F26" s="6">
        <v>4058</v>
      </c>
      <c r="G26" s="7" t="s">
        <v>429</v>
      </c>
      <c r="H26" s="12">
        <v>45113</v>
      </c>
      <c r="I26" s="39"/>
      <c r="J26" s="38">
        <v>45139</v>
      </c>
      <c r="K26" t="e">
        <f>VLOOKUP(A26,明细!B:D,3,0)</f>
        <v>#N/A</v>
      </c>
      <c r="L26">
        <f t="shared" si="0"/>
        <v>377.00037400000002</v>
      </c>
    </row>
    <row r="27" spans="1:12" ht="30">
      <c r="A27" s="18" t="s">
        <v>430</v>
      </c>
      <c r="B27" s="19" t="s">
        <v>431</v>
      </c>
      <c r="C27" s="11" t="s">
        <v>413</v>
      </c>
      <c r="D27" s="4" t="s">
        <v>360</v>
      </c>
      <c r="E27" s="5" t="s">
        <v>432</v>
      </c>
      <c r="F27" s="6">
        <v>2099</v>
      </c>
      <c r="G27" s="7" t="s">
        <v>433</v>
      </c>
      <c r="H27" s="12">
        <v>45108</v>
      </c>
      <c r="I27" s="26"/>
      <c r="J27" s="26">
        <v>45145</v>
      </c>
      <c r="K27" t="str">
        <f>VLOOKUP(A27,明细!B:D,3,0)</f>
        <v>East</v>
      </c>
      <c r="L27">
        <f t="shared" si="0"/>
        <v>195.00339700000001</v>
      </c>
    </row>
    <row r="28" spans="1:12" ht="15">
      <c r="A28" s="4" t="s">
        <v>434</v>
      </c>
      <c r="B28" s="20" t="s">
        <v>435</v>
      </c>
      <c r="C28" s="11" t="s">
        <v>413</v>
      </c>
      <c r="D28" s="4" t="s">
        <v>360</v>
      </c>
      <c r="E28" s="5" t="s">
        <v>436</v>
      </c>
      <c r="F28" s="6">
        <v>3453</v>
      </c>
      <c r="G28" s="7" t="s">
        <v>355</v>
      </c>
      <c r="H28" s="13">
        <v>45108</v>
      </c>
      <c r="I28" s="40"/>
      <c r="J28" s="41">
        <v>45151</v>
      </c>
      <c r="K28" t="e">
        <f>VLOOKUP(A28,明细!B:D,3,0)</f>
        <v>#N/A</v>
      </c>
      <c r="L28">
        <f t="shared" si="0"/>
        <v>320.794059</v>
      </c>
    </row>
    <row r="29" spans="1:12" ht="15" hidden="1">
      <c r="A29" s="1" t="s">
        <v>437</v>
      </c>
      <c r="B29" s="20" t="s">
        <v>438</v>
      </c>
      <c r="C29" s="11" t="s">
        <v>413</v>
      </c>
      <c r="D29" s="4" t="s">
        <v>424</v>
      </c>
      <c r="E29" s="5">
        <v>259</v>
      </c>
      <c r="F29" s="6">
        <v>3500</v>
      </c>
      <c r="G29" s="7" t="s">
        <v>421</v>
      </c>
      <c r="H29" s="13">
        <v>45108</v>
      </c>
      <c r="I29" s="39"/>
      <c r="J29" s="26">
        <v>45164</v>
      </c>
      <c r="K29" t="str">
        <f>VLOOKUP(A29,明细!B:D,3,0)</f>
        <v>East</v>
      </c>
    </row>
    <row r="30" spans="1:12" ht="15" hidden="1">
      <c r="A30" s="4" t="s">
        <v>439</v>
      </c>
      <c r="B30" s="21" t="s">
        <v>440</v>
      </c>
      <c r="C30" s="11" t="s">
        <v>413</v>
      </c>
      <c r="D30" s="4" t="s">
        <v>374</v>
      </c>
      <c r="E30" s="5">
        <v>1095</v>
      </c>
      <c r="F30" s="6">
        <v>2527</v>
      </c>
      <c r="G30" s="7" t="s">
        <v>441</v>
      </c>
      <c r="H30" s="12">
        <v>45108</v>
      </c>
      <c r="I30" s="39"/>
      <c r="J30" s="26">
        <v>45164</v>
      </c>
      <c r="K30" t="e">
        <f>VLOOKUP(A30,明细!B:D,3,0)</f>
        <v>#N/A</v>
      </c>
    </row>
    <row r="31" spans="1:12" ht="15" hidden="1">
      <c r="A31" s="22" t="s">
        <v>442</v>
      </c>
      <c r="B31" s="20" t="s">
        <v>443</v>
      </c>
      <c r="C31" s="11" t="s">
        <v>413</v>
      </c>
      <c r="D31" s="4" t="s">
        <v>374</v>
      </c>
      <c r="E31" s="5" t="s">
        <v>444</v>
      </c>
      <c r="F31" s="6">
        <v>3618</v>
      </c>
      <c r="G31" s="7" t="s">
        <v>441</v>
      </c>
      <c r="H31" s="12">
        <v>45108</v>
      </c>
      <c r="I31" s="40"/>
      <c r="J31" s="41">
        <v>45164</v>
      </c>
      <c r="K31" t="e">
        <f>VLOOKUP(A31,明细!B:D,3,0)</f>
        <v>#N/A</v>
      </c>
    </row>
    <row r="32" spans="1:12" ht="15" hidden="1">
      <c r="A32" s="4" t="s">
        <v>445</v>
      </c>
      <c r="B32" s="23" t="s">
        <v>446</v>
      </c>
      <c r="C32" s="11" t="s">
        <v>413</v>
      </c>
      <c r="D32" s="4" t="s">
        <v>343</v>
      </c>
      <c r="E32" s="5">
        <v>577</v>
      </c>
      <c r="F32" s="6">
        <v>3021</v>
      </c>
      <c r="G32" s="7" t="s">
        <v>426</v>
      </c>
      <c r="H32" s="12">
        <v>45139</v>
      </c>
      <c r="I32" s="39"/>
      <c r="J32" s="38">
        <v>45172</v>
      </c>
      <c r="K32" t="str">
        <f>VLOOKUP(A32,明细!B:D,3,0)</f>
        <v>East</v>
      </c>
    </row>
    <row r="33" spans="1:11" ht="30" hidden="1">
      <c r="A33" s="4" t="s">
        <v>447</v>
      </c>
      <c r="B33" s="16" t="s">
        <v>448</v>
      </c>
      <c r="C33" s="11" t="s">
        <v>413</v>
      </c>
      <c r="D33" s="4" t="s">
        <v>449</v>
      </c>
      <c r="E33" s="5">
        <v>498</v>
      </c>
      <c r="F33" s="6">
        <v>2081</v>
      </c>
      <c r="G33" s="7" t="s">
        <v>421</v>
      </c>
      <c r="H33" s="12">
        <v>45139</v>
      </c>
      <c r="I33" s="26"/>
      <c r="J33" s="26">
        <v>45194</v>
      </c>
      <c r="K33" t="e">
        <f>VLOOKUP(A33,明细!B:D,3,0)</f>
        <v>#N/A</v>
      </c>
    </row>
    <row r="34" spans="1:11" ht="15" hidden="1">
      <c r="A34" s="24" t="s">
        <v>450</v>
      </c>
      <c r="B34" s="20" t="s">
        <v>451</v>
      </c>
      <c r="C34" s="11" t="s">
        <v>413</v>
      </c>
      <c r="D34" s="4" t="s">
        <v>343</v>
      </c>
      <c r="E34" s="5">
        <v>1260</v>
      </c>
      <c r="F34" s="6">
        <v>3500</v>
      </c>
      <c r="G34" s="7" t="s">
        <v>357</v>
      </c>
      <c r="H34" s="12">
        <v>45097</v>
      </c>
      <c r="I34" s="39"/>
      <c r="J34" s="26">
        <v>45153</v>
      </c>
      <c r="K34" t="e">
        <f>VLOOKUP(A34,明细!B:D,3,0)</f>
        <v>#N/A</v>
      </c>
    </row>
    <row r="35" spans="1:11" ht="15" hidden="1">
      <c r="A35" s="25" t="s">
        <v>452</v>
      </c>
      <c r="B35" s="16" t="s">
        <v>453</v>
      </c>
      <c r="C35" s="11" t="s">
        <v>413</v>
      </c>
      <c r="D35" s="4" t="s">
        <v>360</v>
      </c>
      <c r="E35" s="5">
        <v>244</v>
      </c>
      <c r="F35" s="6">
        <v>5401</v>
      </c>
      <c r="G35" s="7" t="s">
        <v>378</v>
      </c>
      <c r="H35" s="13">
        <v>45261</v>
      </c>
      <c r="I35" s="26"/>
      <c r="J35" s="26">
        <v>45301</v>
      </c>
      <c r="K35" t="e">
        <f>VLOOKUP(A35,明细!B:D,3,0)</f>
        <v>#N/A</v>
      </c>
    </row>
    <row r="36" spans="1:11" ht="15" hidden="1">
      <c r="A36" s="24" t="s">
        <v>454</v>
      </c>
      <c r="B36" s="17" t="s">
        <v>455</v>
      </c>
      <c r="C36" s="11" t="s">
        <v>413</v>
      </c>
      <c r="D36" s="4" t="s">
        <v>360</v>
      </c>
      <c r="E36" s="5">
        <v>640</v>
      </c>
      <c r="F36" s="6">
        <v>3321</v>
      </c>
      <c r="G36" s="7" t="s">
        <v>344</v>
      </c>
      <c r="H36" s="26">
        <v>45306</v>
      </c>
      <c r="I36" s="39"/>
      <c r="J36" s="26">
        <v>45337</v>
      </c>
      <c r="K36" t="e">
        <f>VLOOKUP(A36,明细!B:D,3,0)</f>
        <v>#N/A</v>
      </c>
    </row>
    <row r="37" spans="1:11" ht="45" hidden="1">
      <c r="A37" s="27" t="s">
        <v>456</v>
      </c>
      <c r="B37" s="16" t="s">
        <v>457</v>
      </c>
      <c r="C37" s="11" t="s">
        <v>458</v>
      </c>
      <c r="D37" s="4" t="s">
        <v>419</v>
      </c>
      <c r="E37" s="5">
        <v>127</v>
      </c>
      <c r="F37" s="6">
        <v>2500</v>
      </c>
      <c r="G37" s="7" t="s">
        <v>350</v>
      </c>
      <c r="H37" s="28">
        <v>45108</v>
      </c>
      <c r="I37" s="26"/>
      <c r="J37" s="26">
        <v>45153</v>
      </c>
      <c r="K37" t="e">
        <f>VLOOKUP(A37,明细!B:D,3,0)</f>
        <v>#N/A</v>
      </c>
    </row>
    <row r="38" spans="1:11" ht="60" hidden="1">
      <c r="A38" s="27" t="s">
        <v>459</v>
      </c>
      <c r="B38" s="16" t="s">
        <v>460</v>
      </c>
      <c r="C38" s="11" t="s">
        <v>458</v>
      </c>
      <c r="D38" s="4" t="s">
        <v>360</v>
      </c>
      <c r="E38" s="5" t="s">
        <v>461</v>
      </c>
      <c r="F38" s="6">
        <v>5503</v>
      </c>
      <c r="G38" s="7" t="s">
        <v>357</v>
      </c>
      <c r="H38" s="28">
        <v>45108</v>
      </c>
      <c r="I38" s="37"/>
      <c r="J38" s="26">
        <v>45158</v>
      </c>
      <c r="K38" t="str">
        <f>VLOOKUP(A38,明细!B:D,3,0)</f>
        <v>West</v>
      </c>
    </row>
    <row r="39" spans="1:11" ht="30" hidden="1">
      <c r="A39" s="29" t="s">
        <v>462</v>
      </c>
      <c r="B39" s="30" t="s">
        <v>463</v>
      </c>
      <c r="C39" s="11" t="s">
        <v>458</v>
      </c>
      <c r="D39" s="4" t="s">
        <v>360</v>
      </c>
      <c r="E39" s="5" t="s">
        <v>464</v>
      </c>
      <c r="F39" s="6">
        <v>3960</v>
      </c>
      <c r="G39" s="7" t="s">
        <v>465</v>
      </c>
      <c r="H39" s="26">
        <v>45108</v>
      </c>
      <c r="I39" s="40"/>
      <c r="J39" s="26">
        <v>45164</v>
      </c>
      <c r="K39" t="e">
        <f>VLOOKUP(A39,明细!B:D,3,0)</f>
        <v>#N/A</v>
      </c>
    </row>
    <row r="40" spans="1:11" ht="15" hidden="1">
      <c r="A40" s="29" t="s">
        <v>466</v>
      </c>
      <c r="B40" s="17" t="s">
        <v>467</v>
      </c>
      <c r="C40" s="11" t="s">
        <v>458</v>
      </c>
      <c r="D40" s="4" t="s">
        <v>360</v>
      </c>
      <c r="E40" s="5">
        <v>500</v>
      </c>
      <c r="F40" s="6">
        <v>3328</v>
      </c>
      <c r="G40" s="7" t="s">
        <v>465</v>
      </c>
      <c r="H40" s="26">
        <v>45108</v>
      </c>
      <c r="I40" s="39"/>
      <c r="J40" s="41">
        <v>45164</v>
      </c>
      <c r="K40" t="e">
        <f>VLOOKUP(A40,明细!B:D,3,0)</f>
        <v>#N/A</v>
      </c>
    </row>
    <row r="41" spans="1:11" ht="30" hidden="1">
      <c r="A41" s="29" t="s">
        <v>468</v>
      </c>
      <c r="B41" s="31" t="s">
        <v>469</v>
      </c>
      <c r="C41" s="11" t="s">
        <v>458</v>
      </c>
      <c r="D41" s="4" t="s">
        <v>374</v>
      </c>
      <c r="E41" s="5" t="s">
        <v>470</v>
      </c>
      <c r="F41" s="6">
        <v>3390</v>
      </c>
      <c r="G41" s="7" t="s">
        <v>350</v>
      </c>
      <c r="H41" s="13">
        <v>45108</v>
      </c>
      <c r="I41" s="26"/>
      <c r="J41" s="26">
        <v>45163</v>
      </c>
      <c r="K41" t="e">
        <f>VLOOKUP(A41,明细!B:D,3,0)</f>
        <v>#N/A</v>
      </c>
    </row>
  </sheetData>
  <autoFilter ref="A1:K41" xr:uid="{00000000-0009-0000-0000-000007000000}">
    <filterColumn colId="9">
      <filters>
        <dateGroupItem year="2023" month="7" dateTimeGrouping="month"/>
        <dateGroupItem year="2023" month="8" day="1" dateTimeGrouping="day"/>
        <dateGroupItem year="2023" month="8" day="7" dateTimeGrouping="day"/>
        <dateGroupItem year="2023" month="8" day="13" dateTimeGrouping="day"/>
      </filters>
    </filterColumn>
    <filterColumn colId="10">
      <filters>
        <filter val="#N/A"/>
      </filters>
    </filterColumn>
  </autoFilter>
  <phoneticPr fontId="12" type="noConversion"/>
  <pageMargins left="0.75" right="0.75" top="1" bottom="1" header="0.5" footer="0.5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Yiming</dc:creator>
  <cp:keywords/>
  <dc:description/>
  <cp:lastModifiedBy>Irene Zheng</cp:lastModifiedBy>
  <cp:revision/>
  <dcterms:created xsi:type="dcterms:W3CDTF">2023-06-22T18:05:00Z</dcterms:created>
  <dcterms:modified xsi:type="dcterms:W3CDTF">2023-12-27T07:00:10Z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70FE40163DAA4FEC85F6CE8150778443</vt:lpwstr>
  </property>
  <property fmtid="{D5CDD505-2E9C-101B-9397-08002B2CF9AE}" pid="3" name="KSOProductBuildVer">
    <vt:lpwstr>2052-11.1.0.12980</vt:lpwstr>
  </property>
  <property fmtid="{D5CDD505-2E9C-101B-9397-08002B2CF9AE}" pid="4" name="KSOReadingLayout">
    <vt:bool>true</vt:bool>
  </property>
</Properties>
</file>