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slicers/slicer1.xml" ContentType="application/vnd.ms-excel.slicer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slicers/slicer2.xml" ContentType="application/vnd.ms-excel.slicer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D789E5EF-2DA8-465D-854E-EEE984E3B9E4}" xr6:coauthVersionLast="47" xr6:coauthVersionMax="47" xr10:uidLastSave="{00000000-0000-0000-0000-000000000000}"/>
  <bookViews>
    <workbookView xWindow="-120" yWindow="-120" windowWidth="20730" windowHeight="11040" xr2:uid="{FBF13C54-EAF5-48F7-B675-6702B08EF7EF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ventas" sheetId="3" r:id="rId6"/>
    <sheet name="estadisticas" sheetId="7" r:id="rId7"/>
  </sheets>
  <definedNames>
    <definedName name="_xlnm._FilterDatabase" localSheetId="5" hidden="1">ventas!$B$1:$I$11</definedName>
    <definedName name="ahora">datos!$Q$2</definedName>
    <definedName name="año">datos!$R$2</definedName>
    <definedName name="cant">ventas!$E:$E</definedName>
    <definedName name="hoy">datos!$P$2</definedName>
    <definedName name="iva">ventas!$K$2</definedName>
    <definedName name="precio">ventas!$F:$F</definedName>
    <definedName name="precio_iva">ventas!$H:$H</definedName>
    <definedName name="SegmentaciónDeDatos_Categoria">#N/A</definedName>
    <definedName name="SegmentaciónDeDatos_Marca">#N/A</definedName>
    <definedName name="SegmentaciónDeDatos_producto">#N/A</definedName>
    <definedName name="SegmentaciónDeDatos_vendedor">#N/A</definedName>
    <definedName name="total">ventas!$G:$G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3" l="1"/>
  <c r="K9" i="3"/>
  <c r="K8" i="3"/>
  <c r="G2" i="3"/>
  <c r="J2" i="5"/>
  <c r="J3" i="5"/>
  <c r="J4" i="5"/>
  <c r="J5" i="5"/>
  <c r="J6" i="5"/>
  <c r="K2" i="5"/>
  <c r="K3" i="5"/>
  <c r="K4" i="5"/>
  <c r="K5" i="5"/>
  <c r="K6" i="5"/>
  <c r="I2" i="5"/>
  <c r="I3" i="5"/>
  <c r="I4" i="5"/>
  <c r="I5" i="5"/>
  <c r="I6" i="5"/>
  <c r="P2" i="5"/>
  <c r="S2" i="5" s="1"/>
  <c r="Q2" i="5"/>
  <c r="W2" i="5" s="1"/>
  <c r="AH6" i="4"/>
  <c r="B5" i="4"/>
  <c r="B5" i="5" s="1"/>
  <c r="B4" i="4"/>
  <c r="B4" i="5" s="1"/>
  <c r="B6" i="4"/>
  <c r="B6" i="5" s="1"/>
  <c r="AG5" i="4"/>
  <c r="AG6" i="4"/>
  <c r="AH5" i="4"/>
  <c r="AH2" i="4"/>
  <c r="AG2" i="4"/>
  <c r="AH3" i="4"/>
  <c r="AH4" i="4"/>
  <c r="AG3" i="4"/>
  <c r="AG4" i="4"/>
  <c r="B3" i="4"/>
  <c r="B3" i="5" s="1"/>
  <c r="B2" i="4"/>
  <c r="B2" i="5" s="1"/>
  <c r="G3" i="3"/>
  <c r="G4" i="3"/>
  <c r="H4" i="3" s="1"/>
  <c r="G5" i="3"/>
  <c r="H5" i="3" s="1"/>
  <c r="G6" i="3"/>
  <c r="G7" i="3"/>
  <c r="G8" i="3"/>
  <c r="H8" i="3" s="1"/>
  <c r="G9" i="3"/>
  <c r="H9" i="3" s="1"/>
  <c r="G10" i="3"/>
  <c r="G11" i="3"/>
  <c r="G12" i="3" l="1"/>
  <c r="K5" i="3" s="1"/>
  <c r="H11" i="3"/>
  <c r="I11" i="3" s="1"/>
  <c r="H7" i="3"/>
  <c r="I7" i="3" s="1"/>
  <c r="H3" i="3"/>
  <c r="I3" i="3" s="1"/>
  <c r="I9" i="3"/>
  <c r="I5" i="3"/>
  <c r="H10" i="3"/>
  <c r="I10" i="3" s="1"/>
  <c r="H6" i="3"/>
  <c r="I6" i="3" s="1"/>
  <c r="H2" i="3"/>
  <c r="I8" i="3"/>
  <c r="I4" i="3"/>
  <c r="K7" i="3"/>
  <c r="K4" i="3"/>
  <c r="AK3" i="4"/>
  <c r="N6" i="5"/>
  <c r="M6" i="5"/>
  <c r="C6" i="5" s="1"/>
  <c r="M5" i="5"/>
  <c r="C5" i="5" s="1"/>
  <c r="N5" i="5"/>
  <c r="M4" i="5"/>
  <c r="C4" i="5" s="1"/>
  <c r="N4" i="5"/>
  <c r="M3" i="5"/>
  <c r="C3" i="5" s="1"/>
  <c r="N3" i="5"/>
  <c r="N2" i="5"/>
  <c r="M2" i="5"/>
  <c r="C2" i="5" s="1"/>
  <c r="G4" i="5"/>
  <c r="G6" i="5"/>
  <c r="G2" i="5"/>
  <c r="G5" i="5"/>
  <c r="G3" i="5"/>
  <c r="T2" i="5"/>
  <c r="U2" i="5"/>
  <c r="R2" i="5"/>
  <c r="V2" i="5"/>
  <c r="AK4" i="4"/>
  <c r="AK6" i="4"/>
  <c r="AL6" i="4"/>
  <c r="AL3" i="4"/>
  <c r="AL5" i="4"/>
  <c r="AK2" i="4"/>
  <c r="AK5" i="4"/>
  <c r="AK7" i="4"/>
  <c r="AL7" i="4"/>
  <c r="AL2" i="4"/>
  <c r="AL4" i="4"/>
  <c r="K6" i="3" l="1"/>
  <c r="I2" i="3"/>
  <c r="I12" i="3" s="1"/>
  <c r="H12" i="3"/>
  <c r="D3" i="5"/>
  <c r="D5" i="5"/>
  <c r="D4" i="5"/>
  <c r="D2" i="5"/>
  <c r="D6" i="5"/>
  <c r="F2" i="5" a="1"/>
  <c r="F2" i="5" s="1"/>
  <c r="F4" i="5" a="1"/>
  <c r="F4" i="5" s="1"/>
  <c r="F6" i="5" a="1"/>
  <c r="F6" i="5" s="1"/>
  <c r="F3" i="5" a="1"/>
  <c r="F3" i="5" s="1"/>
  <c r="F5" i="5" a="1"/>
  <c r="F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<sst xmlns="http://schemas.openxmlformats.org/spreadsheetml/2006/main" count="256" uniqueCount="144">
  <si>
    <t>codigo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</si>
  <si>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</si>
  <si>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</si>
  <si>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</si>
  <si>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</si>
  <si>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</si>
  <si>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</si>
  <si>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</si>
  <si>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</si>
  <si>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</si>
  <si>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</si>
  <si>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</si>
  <si>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</si>
  <si>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</si>
  <si>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</si>
  <si>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</si>
  <si>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</si>
  <si>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</si>
  <si>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</si>
  <si>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</si>
  <si>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</si>
  <si>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</si>
  <si>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</si>
  <si>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</si>
  <si>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</si>
  <si>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</si>
  <si>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</si>
  <si>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</si>
  <si>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</si>
  <si>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</si>
  <si>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</si>
  <si>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</si>
  <si>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</si>
  <si>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</si>
  <si>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</si>
  <si>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</si>
  <si>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</si>
  <si>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</si>
  <si>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</si>
  <si>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</si>
  <si>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</si>
  <si>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</si>
  <si>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</si>
  <si>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</si>
  <si>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</si>
  <si>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</si>
  <si>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</si>
  <si>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</si>
  <si>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</si>
  <si>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</si>
  <si>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</si>
  <si>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</si>
  <si>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</si>
  <si>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</si>
  <si>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</si>
  <si>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</si>
  <si>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</si>
  <si>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</si>
  <si>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</si>
  <si>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</si>
  <si>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</si>
  <si>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</si>
  <si>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</si>
  <si>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</si>
  <si>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</si>
  <si>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</si>
  <si>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</si>
  <si>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</si>
  <si>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</si>
  <si>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</si>
  <si>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</si>
  <si>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HH</t>
  </si>
  <si>
    <t>mm</t>
  </si>
  <si>
    <t>ss</t>
  </si>
  <si>
    <t>empleado</t>
  </si>
  <si>
    <t>char</t>
  </si>
  <si>
    <t>;</t>
  </si>
  <si>
    <t>largo</t>
  </si>
  <si>
    <t>cristian Damian</t>
  </si>
  <si>
    <t>racedo</t>
  </si>
  <si>
    <t>Abel Alejandro</t>
  </si>
  <si>
    <t>Aguilera</t>
  </si>
  <si>
    <t>Cristina</t>
  </si>
  <si>
    <t>Shakira Alejandra</t>
  </si>
  <si>
    <t>Messi</t>
  </si>
  <si>
    <t>Lionel Andres</t>
  </si>
  <si>
    <t>CODIGO</t>
  </si>
  <si>
    <t>APELLIDO</t>
  </si>
  <si>
    <t>NOMBRE</t>
  </si>
  <si>
    <t>LEGAJO</t>
  </si>
  <si>
    <t>SECTOR</t>
  </si>
  <si>
    <t>NACIMIENTO</t>
  </si>
  <si>
    <t>AÑOS</t>
  </si>
  <si>
    <t>EDAD</t>
  </si>
  <si>
    <t>CUIL</t>
  </si>
  <si>
    <t>G</t>
  </si>
  <si>
    <t>DOCMENTO</t>
  </si>
  <si>
    <t>V</t>
  </si>
  <si>
    <t>Empleados</t>
  </si>
  <si>
    <t>Datos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</si>
  <si>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</si>
  <si>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</si>
  <si>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</si>
  <si>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</si>
  <si>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</si>
  <si>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</si>
  <si>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</si>
  <si>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</si>
  <si>
    <t>Internos</t>
  </si>
  <si>
    <t>Externos</t>
  </si>
  <si>
    <t>atras</t>
  </si>
  <si>
    <t>Intro</t>
  </si>
  <si>
    <t>Mejor vendedor</t>
  </si>
  <si>
    <t>Producto mas solicitado</t>
  </si>
  <si>
    <t>cantidad ventas</t>
  </si>
  <si>
    <t>Recaudacion total</t>
  </si>
  <si>
    <t>Mediana de ventas</t>
  </si>
  <si>
    <t>Media de ventas</t>
  </si>
  <si>
    <t>Descripcion</t>
  </si>
  <si>
    <t>Stock</t>
  </si>
  <si>
    <t>Categoria</t>
  </si>
  <si>
    <t>Tostadora</t>
  </si>
  <si>
    <t>Crema Antiage</t>
  </si>
  <si>
    <t>Belleza</t>
  </si>
  <si>
    <t>Pava Electrica</t>
  </si>
  <si>
    <t>Electrodomestico</t>
  </si>
  <si>
    <t>Vino 500cm</t>
  </si>
  <si>
    <t>Bebidas</t>
  </si>
  <si>
    <t>Whisky</t>
  </si>
  <si>
    <t>Marca</t>
  </si>
  <si>
    <t>Dove</t>
  </si>
  <si>
    <t>Atma</t>
  </si>
  <si>
    <t>Liliana</t>
  </si>
  <si>
    <t>Toro</t>
  </si>
  <si>
    <t>Old Smuggler</t>
  </si>
  <si>
    <t>Jabon de tocador</t>
  </si>
  <si>
    <t>Higiene</t>
  </si>
  <si>
    <t>Horno Electrico</t>
  </si>
  <si>
    <t>Horno Microondas</t>
  </si>
  <si>
    <t>Top House</t>
  </si>
  <si>
    <t>Aire Acondicionado</t>
  </si>
  <si>
    <t>Hogar</t>
  </si>
  <si>
    <t>Samsung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</si>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</sst>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  <numFmt numFmtId="168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6" fillId="0" borderId="0" xfId="0" applyFont="1" applyFill="1" applyAlignment="1">
      <alignment horizontal="center"/>
    </xf>
    <xf numFmtId="0" fontId="9" fillId="0" borderId="0" xfId="4" applyFont="1" applyFill="1" applyAlignment="1">
      <alignment horizontal="center"/>
    </xf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top"/>
    </xf>
    <xf numFmtId="0" fontId="8" fillId="4" borderId="0" xfId="4" applyAlignment="1">
      <alignment horizontal="center" vertical="center" textRotation="90"/>
    </xf>
    <xf numFmtId="0" fontId="0" fillId="5" borderId="0" xfId="0" applyFill="1" applyAlignment="1">
      <alignment horizontal="center"/>
    </xf>
    <xf numFmtId="44" fontId="0" fillId="0" borderId="0" xfId="1" applyFont="1"/>
    <xf numFmtId="168" fontId="0" fillId="0" borderId="0" xfId="2" applyNumberFormat="1" applyFont="1"/>
    <xf numFmtId="0" fontId="0" fillId="0" borderId="0" xfId="0" applyFill="1" applyBorder="1"/>
    <xf numFmtId="0" fontId="0" fillId="0" borderId="0" xfId="0" applyBorder="1"/>
    <xf numFmtId="164" fontId="1" fillId="0" borderId="0" xfId="0" applyNumberFormat="1" applyFont="1"/>
    <xf numFmtId="0" fontId="0" fillId="0" borderId="0" xfId="0" applyNumberFormat="1" applyFont="1"/>
    <xf numFmtId="164" fontId="0" fillId="0" borderId="0" xfId="0" applyNumberFormat="1" applyFont="1"/>
  </cellXfs>
  <cellStyles count="5">
    <cellStyle name="Énfasis1" xfId="4" builtinId="29"/>
    <cellStyle name="Hipervínculo" xfId="3" builtinId="8"/>
    <cellStyle name="Millares" xfId="2" builtinId="3"/>
    <cellStyle name="Moneda" xfId="1" builtinId="4"/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ventas!A1"/><Relationship Id="rId18" Type="http://schemas.openxmlformats.org/officeDocument/2006/relationships/image" Target="../media/image10.svg"/><Relationship Id="rId26" Type="http://schemas.openxmlformats.org/officeDocument/2006/relationships/image" Target="../media/image15.png"/><Relationship Id="rId3" Type="http://schemas.openxmlformats.org/officeDocument/2006/relationships/hyperlink" Target="https://github.com/c215714n/EducacionIT/tree/excel-v10" TargetMode="External"/><Relationship Id="rId21" Type="http://schemas.openxmlformats.org/officeDocument/2006/relationships/image" Target="../media/image12.svg"/><Relationship Id="rId34" Type="http://schemas.openxmlformats.org/officeDocument/2006/relationships/hyperlink" Target="#presentismo!A1"/><Relationship Id="rId7" Type="http://schemas.openxmlformats.org/officeDocument/2006/relationships/hyperlink" Target="introduccion.xlsx" TargetMode="External"/><Relationship Id="rId12" Type="http://schemas.openxmlformats.org/officeDocument/2006/relationships/image" Target="../media/image6.svg"/><Relationship Id="rId17" Type="http://schemas.openxmlformats.org/officeDocument/2006/relationships/image" Target="../media/image9.png"/><Relationship Id="rId25" Type="http://schemas.openxmlformats.org/officeDocument/2006/relationships/hyperlink" Target="#estadisticas!A1"/><Relationship Id="rId33" Type="http://schemas.openxmlformats.org/officeDocument/2006/relationships/image" Target="../media/image20.svg"/><Relationship Id="rId2" Type="http://schemas.microsoft.com/office/2007/relationships/hdphoto" Target="../media/hdphoto1.wdp"/><Relationship Id="rId16" Type="http://schemas.openxmlformats.org/officeDocument/2006/relationships/hyperlink" Target="#productos!A1"/><Relationship Id="rId20" Type="http://schemas.openxmlformats.org/officeDocument/2006/relationships/image" Target="../media/image11.png"/><Relationship Id="rId29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hyperlink" Target="https://alumni.education" TargetMode="External"/><Relationship Id="rId11" Type="http://schemas.openxmlformats.org/officeDocument/2006/relationships/image" Target="../media/image5.png"/><Relationship Id="rId24" Type="http://schemas.openxmlformats.org/officeDocument/2006/relationships/image" Target="../media/image14.svg"/><Relationship Id="rId32" Type="http://schemas.openxmlformats.org/officeDocument/2006/relationships/image" Target="../media/image19.png"/><Relationship Id="rId5" Type="http://schemas.openxmlformats.org/officeDocument/2006/relationships/hyperlink" Target="http://informationtransfereconomics.blogspot.com/2017/02/information-equilibrium-code.html" TargetMode="External"/><Relationship Id="rId15" Type="http://schemas.openxmlformats.org/officeDocument/2006/relationships/image" Target="../media/image8.svg"/><Relationship Id="rId23" Type="http://schemas.openxmlformats.org/officeDocument/2006/relationships/image" Target="../media/image13.png"/><Relationship Id="rId28" Type="http://schemas.openxmlformats.org/officeDocument/2006/relationships/hyperlink" Target="file:///C:\Users\EducacionIT\Documents\office\Excel\xls-v10\contabilidad.xlsx" TargetMode="External"/><Relationship Id="rId36" Type="http://schemas.openxmlformats.org/officeDocument/2006/relationships/image" Target="../media/image22.svg"/><Relationship Id="rId10" Type="http://schemas.openxmlformats.org/officeDocument/2006/relationships/hyperlink" Target="docs/atajos-teclado.doc" TargetMode="External"/><Relationship Id="rId19" Type="http://schemas.openxmlformats.org/officeDocument/2006/relationships/hyperlink" Target="mailto:cristiandracedo@hotmail.com?subject=Consulta%20EXCEL" TargetMode="External"/><Relationship Id="rId31" Type="http://schemas.openxmlformats.org/officeDocument/2006/relationships/hyperlink" Target="#empleados!A1"/><Relationship Id="rId4" Type="http://schemas.openxmlformats.org/officeDocument/2006/relationships/image" Target="../media/image2.png"/><Relationship Id="rId9" Type="http://schemas.openxmlformats.org/officeDocument/2006/relationships/image" Target="../media/image4.svg"/><Relationship Id="rId14" Type="http://schemas.openxmlformats.org/officeDocument/2006/relationships/image" Target="../media/image7.png"/><Relationship Id="rId22" Type="http://schemas.openxmlformats.org/officeDocument/2006/relationships/hyperlink" Target="#datos!A1"/><Relationship Id="rId27" Type="http://schemas.openxmlformats.org/officeDocument/2006/relationships/image" Target="../media/image16.svg"/><Relationship Id="rId30" Type="http://schemas.openxmlformats.org/officeDocument/2006/relationships/image" Target="../media/image18.svg"/><Relationship Id="rId35" Type="http://schemas.openxmlformats.org/officeDocument/2006/relationships/image" Target="../media/image21.png"/><Relationship Id="rId8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132520</xdr:colOff>
      <xdr:row>0</xdr:row>
      <xdr:rowOff>50220</xdr:rowOff>
    </xdr:from>
    <xdr:to>
      <xdr:col>0</xdr:col>
      <xdr:colOff>519311</xdr:colOff>
      <xdr:row>0</xdr:row>
      <xdr:rowOff>482220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0DDF4-F253-490A-9DC4-2E8A8BB3D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0" b="89367" l="10000" r="90000">
                      <a14:foregroundMark x1="25333" y1="70667" x2="33333" y2="29333"/>
                      <a14:backgroundMark x1="15111" y1="9778" x2="87556" y2="9778"/>
                      <a14:backgroundMark x1="14667" y1="14667" x2="6222" y2="76444"/>
                      <a14:backgroundMark x1="6222" y1="76444" x2="72444" y2="88000"/>
                      <a14:backgroundMark x1="72444" y1="88000" x2="91556" y2="6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80" t="15171" r="10055" b="16457"/>
        <a:stretch/>
      </xdr:blipFill>
      <xdr:spPr>
        <a:xfrm rot="16200000">
          <a:off x="109916" y="72824"/>
          <a:ext cx="432000" cy="386791"/>
        </a:xfrm>
        <a:prstGeom prst="rect">
          <a:avLst/>
        </a:prstGeom>
        <a:ln>
          <a:noFill/>
        </a:ln>
        <a:effectLst/>
      </xdr:spPr>
    </xdr:pic>
    <xdr:clientData/>
  </xdr:twoCellAnchor>
  <xdr:oneCellAnchor>
    <xdr:from>
      <xdr:col>0</xdr:col>
      <xdr:colOff>125072</xdr:colOff>
      <xdr:row>0</xdr:row>
      <xdr:rowOff>356156</xdr:rowOff>
    </xdr:from>
    <xdr:ext cx="430696" cy="160021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D1B155-0DE3-4B86-AD56-256B5D492DDC}"/>
            </a:ext>
          </a:extLst>
        </xdr:cNvPr>
        <xdr:cNvSpPr/>
      </xdr:nvSpPr>
      <xdr:spPr>
        <a:xfrm rot="16200000">
          <a:off x="-459686" y="940914"/>
          <a:ext cx="1600211" cy="43069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8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EDUCACION</a:t>
          </a:r>
        </a:p>
      </xdr:txBody>
    </xdr:sp>
    <xdr:clientData/>
  </xdr:oneCellAnchor>
  <xdr:twoCellAnchor editAs="oneCell">
    <xdr:from>
      <xdr:col>6</xdr:col>
      <xdr:colOff>15812</xdr:colOff>
      <xdr:row>2</xdr:row>
      <xdr:rowOff>42166</xdr:rowOff>
    </xdr:from>
    <xdr:to>
      <xdr:col>6</xdr:col>
      <xdr:colOff>740353</xdr:colOff>
      <xdr:row>3</xdr:row>
      <xdr:rowOff>166</xdr:rowOff>
    </xdr:to>
    <xdr:pic>
      <xdr:nvPicPr>
        <xdr:cNvPr id="6" name="Image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DEEC3-1F11-4D86-BCFC-BB12464C38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rcRect l="22950" r="24218"/>
        <a:stretch/>
      </xdr:blipFill>
      <xdr:spPr>
        <a:xfrm>
          <a:off x="4462255" y="994666"/>
          <a:ext cx="724541" cy="720000"/>
        </a:xfrm>
        <a:prstGeom prst="rect">
          <a:avLst/>
        </a:prstGeom>
      </xdr:spPr>
    </xdr:pic>
    <xdr:clientData/>
  </xdr:twoCellAnchor>
  <xdr:twoCellAnchor>
    <xdr:from>
      <xdr:col>5</xdr:col>
      <xdr:colOff>70758</xdr:colOff>
      <xdr:row>2</xdr:row>
      <xdr:rowOff>48986</xdr:rowOff>
    </xdr:from>
    <xdr:to>
      <xdr:col>5</xdr:col>
      <xdr:colOff>669468</xdr:colOff>
      <xdr:row>2</xdr:row>
      <xdr:rowOff>734785</xdr:rowOff>
    </xdr:to>
    <xdr:grpSp>
      <xdr:nvGrpSpPr>
        <xdr:cNvPr id="10" name="Grup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C8560-04C7-47AC-B955-FBBEB620BEDE}"/>
            </a:ext>
          </a:extLst>
        </xdr:cNvPr>
        <xdr:cNvGrpSpPr/>
      </xdr:nvGrpSpPr>
      <xdr:grpSpPr>
        <a:xfrm>
          <a:off x="3755742" y="1001486"/>
          <a:ext cx="598710" cy="685799"/>
          <a:chOff x="3728358" y="990600"/>
          <a:chExt cx="598710" cy="685799"/>
        </a:xfrm>
      </xdr:grpSpPr>
      <xdr:sp macro="" textlink="">
        <xdr:nvSpPr>
          <xdr:cNvPr id="9" name="Paralelogramo 8">
            <a:extLst>
              <a:ext uri="{FF2B5EF4-FFF2-40B4-BE49-F238E27FC236}">
                <a16:creationId xmlns:a16="http://schemas.microsoft.com/office/drawing/2014/main" id="{F28F8E8F-8D9B-4263-AF2B-D0BD9D861A6A}"/>
              </a:ext>
            </a:extLst>
          </xdr:cNvPr>
          <xdr:cNvSpPr/>
        </xdr:nvSpPr>
        <xdr:spPr>
          <a:xfrm flipH="1">
            <a:off x="3799114" y="1164771"/>
            <a:ext cx="527954" cy="419100"/>
          </a:xfrm>
          <a:prstGeom prst="parallelogram">
            <a:avLst>
              <a:gd name="adj" fmla="val 43182"/>
            </a:avLst>
          </a:prstGeom>
          <a:solidFill>
            <a:sysClr val="window" lastClr="FFFFFF"/>
          </a:solidFill>
          <a:ln w="762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8" name="Paralelogramo 7">
            <a:extLst>
              <a:ext uri="{FF2B5EF4-FFF2-40B4-BE49-F238E27FC236}">
                <a16:creationId xmlns:a16="http://schemas.microsoft.com/office/drawing/2014/main" id="{40BB354E-363F-404C-BF4B-3664E5383121}"/>
              </a:ext>
            </a:extLst>
          </xdr:cNvPr>
          <xdr:cNvSpPr/>
        </xdr:nvSpPr>
        <xdr:spPr>
          <a:xfrm>
            <a:off x="3728358" y="990600"/>
            <a:ext cx="511628" cy="685799"/>
          </a:xfrm>
          <a:prstGeom prst="parallelogram">
            <a:avLst>
              <a:gd name="adj" fmla="val 66506"/>
            </a:avLst>
          </a:prstGeom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4</xdr:col>
      <xdr:colOff>13078</xdr:colOff>
      <xdr:row>2</xdr:row>
      <xdr:rowOff>90469</xdr:rowOff>
    </xdr:from>
    <xdr:to>
      <xdr:col>4</xdr:col>
      <xdr:colOff>733078</xdr:colOff>
      <xdr:row>3</xdr:row>
      <xdr:rowOff>48469</xdr:rowOff>
    </xdr:to>
    <xdr:pic>
      <xdr:nvPicPr>
        <xdr:cNvPr id="14" name="Gráfico 13" descr="Maestro con rellen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96B999-145A-45F4-A720-9E2B239C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936062" y="104296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14250</xdr:colOff>
      <xdr:row>2</xdr:row>
      <xdr:rowOff>38063</xdr:rowOff>
    </xdr:from>
    <xdr:to>
      <xdr:col>3</xdr:col>
      <xdr:colOff>734250</xdr:colOff>
      <xdr:row>2</xdr:row>
      <xdr:rowOff>758063</xdr:rowOff>
    </xdr:to>
    <xdr:pic>
      <xdr:nvPicPr>
        <xdr:cNvPr id="16" name="Gráfico 15" descr="Lápiz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C774A7-A4B7-402D-95C0-D87AF477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75234" y="99056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33281</xdr:colOff>
      <xdr:row>0</xdr:row>
      <xdr:rowOff>69000</xdr:rowOff>
    </xdr:from>
    <xdr:to>
      <xdr:col>5</xdr:col>
      <xdr:colOff>753281</xdr:colOff>
      <xdr:row>1</xdr:row>
      <xdr:rowOff>27000</xdr:rowOff>
    </xdr:to>
    <xdr:pic>
      <xdr:nvPicPr>
        <xdr:cNvPr id="18" name="Gráfico 17" descr="Dinero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27E697-0789-435B-B83C-209816C8F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718265" y="690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22547</xdr:colOff>
      <xdr:row>0</xdr:row>
      <xdr:rowOff>129702</xdr:rowOff>
    </xdr:from>
    <xdr:to>
      <xdr:col>4</xdr:col>
      <xdr:colOff>742547</xdr:colOff>
      <xdr:row>1</xdr:row>
      <xdr:rowOff>87702</xdr:rowOff>
    </xdr:to>
    <xdr:pic>
      <xdr:nvPicPr>
        <xdr:cNvPr id="20" name="Gráfico 19" descr="Camión con relleno sólid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E834ED-922A-4F17-9942-94EAE434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45531" y="12970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11812</xdr:colOff>
      <xdr:row>2</xdr:row>
      <xdr:rowOff>23719</xdr:rowOff>
    </xdr:from>
    <xdr:to>
      <xdr:col>2</xdr:col>
      <xdr:colOff>731812</xdr:colOff>
      <xdr:row>2</xdr:row>
      <xdr:rowOff>743719</xdr:rowOff>
    </xdr:to>
    <xdr:pic>
      <xdr:nvPicPr>
        <xdr:cNvPr id="22" name="Gráfico 21" descr="Correo electrónico con relleno sólid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43A27E5-9F4C-4CBD-8C66-A3377494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410796" y="97621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18937</xdr:colOff>
      <xdr:row>0</xdr:row>
      <xdr:rowOff>18938</xdr:rowOff>
    </xdr:from>
    <xdr:to>
      <xdr:col>2</xdr:col>
      <xdr:colOff>738937</xdr:colOff>
      <xdr:row>0</xdr:row>
      <xdr:rowOff>738938</xdr:rowOff>
    </xdr:to>
    <xdr:pic>
      <xdr:nvPicPr>
        <xdr:cNvPr id="24" name="Gráfico 23" descr="Base de datos con relleno sólid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F38E259-B720-4E3E-8DB3-0198B1659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417921" y="1893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26062</xdr:colOff>
      <xdr:row>0</xdr:row>
      <xdr:rowOff>43922</xdr:rowOff>
    </xdr:from>
    <xdr:to>
      <xdr:col>6</xdr:col>
      <xdr:colOff>746062</xdr:colOff>
      <xdr:row>1</xdr:row>
      <xdr:rowOff>1922</xdr:rowOff>
    </xdr:to>
    <xdr:pic>
      <xdr:nvPicPr>
        <xdr:cNvPr id="26" name="Gráfico 25" descr="Gráfico circular con relleno sólid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1C85EB9-4A4C-4D86-B09C-F77BF5693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4473046" y="4392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45093</xdr:colOff>
      <xdr:row>2</xdr:row>
      <xdr:rowOff>33188</xdr:rowOff>
    </xdr:from>
    <xdr:to>
      <xdr:col>2</xdr:col>
      <xdr:colOff>3093</xdr:colOff>
      <xdr:row>2</xdr:row>
      <xdr:rowOff>753188</xdr:rowOff>
    </xdr:to>
    <xdr:pic>
      <xdr:nvPicPr>
        <xdr:cNvPr id="28" name="Gráfico 27" descr="Documento con relleno sólid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A6766F2-19E7-4EF0-888E-110A75FB7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682077" y="98568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22452</xdr:colOff>
      <xdr:row>0</xdr:row>
      <xdr:rowOff>11907</xdr:rowOff>
    </xdr:from>
    <xdr:to>
      <xdr:col>1</xdr:col>
      <xdr:colOff>742452</xdr:colOff>
      <xdr:row>0</xdr:row>
      <xdr:rowOff>731907</xdr:rowOff>
    </xdr:to>
    <xdr:pic>
      <xdr:nvPicPr>
        <xdr:cNvPr id="30" name="Gráfico 29" descr="Identificación de empleado con relleno sólid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E82619-0467-42A5-AD12-71781D7A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659436" y="11907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29765</xdr:colOff>
      <xdr:row>0</xdr:row>
      <xdr:rowOff>23813</xdr:rowOff>
    </xdr:from>
    <xdr:to>
      <xdr:col>3</xdr:col>
      <xdr:colOff>749765</xdr:colOff>
      <xdr:row>0</xdr:row>
      <xdr:rowOff>743813</xdr:rowOff>
    </xdr:to>
    <xdr:pic>
      <xdr:nvPicPr>
        <xdr:cNvPr id="32" name="Gráfico 31" descr="Lista con relleno sólid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AC5E436-E3A7-45D2-B429-62E82AA5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2190749" y="23813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9DAF0-CEC1-4DB5-A477-2846CC39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096E4-E0E7-49B3-9454-D037DEDC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0</xdr:row>
      <xdr:rowOff>193138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B5927-E67D-4999-AECA-1C0A0C9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46604-226C-47FA-8EE9-C0DCE67E6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7</xdr:col>
      <xdr:colOff>142875</xdr:colOff>
      <xdr:row>0</xdr:row>
      <xdr:rowOff>54852</xdr:rowOff>
    </xdr:from>
    <xdr:to>
      <xdr:col>9</xdr:col>
      <xdr:colOff>89666</xdr:colOff>
      <xdr:row>11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ategoria">
              <a:extLst>
                <a:ext uri="{FF2B5EF4-FFF2-40B4-BE49-F238E27FC236}">
                  <a16:creationId xmlns:a16="http://schemas.microsoft.com/office/drawing/2014/main" id="{75F9ACF9-C875-4289-BAA3-431D542D43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05525" y="54852"/>
              <a:ext cx="1470791" cy="20787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183930</xdr:colOff>
      <xdr:row>0</xdr:row>
      <xdr:rowOff>61092</xdr:rowOff>
    </xdr:from>
    <xdr:to>
      <xdr:col>11</xdr:col>
      <xdr:colOff>19050</xdr:colOff>
      <xdr:row>11</xdr:row>
      <xdr:rowOff>38099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Marca">
              <a:extLst>
                <a:ext uri="{FF2B5EF4-FFF2-40B4-BE49-F238E27FC236}">
                  <a16:creationId xmlns:a16="http://schemas.microsoft.com/office/drawing/2014/main" id="{F7DF6E9B-6FCF-42D2-BEAD-F82AF5AE7F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0580" y="61092"/>
              <a:ext cx="1359120" cy="2072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4A81C-29C9-482A-BDEF-D637F58C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13</xdr:col>
      <xdr:colOff>561975</xdr:colOff>
      <xdr:row>0</xdr:row>
      <xdr:rowOff>66675</xdr:rowOff>
    </xdr:from>
    <xdr:to>
      <xdr:col>15</xdr:col>
      <xdr:colOff>180974</xdr:colOff>
      <xdr:row>14</xdr:row>
      <xdr:rowOff>104775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vendedor">
              <a:extLst>
                <a:ext uri="{FF2B5EF4-FFF2-40B4-BE49-F238E27FC236}">
                  <a16:creationId xmlns:a16="http://schemas.microsoft.com/office/drawing/2014/main" id="{7DD49B7F-83A2-4276-B5A9-1374672153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5" y="66675"/>
              <a:ext cx="1295399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0</xdr:colOff>
      <xdr:row>0</xdr:row>
      <xdr:rowOff>57151</xdr:rowOff>
    </xdr:from>
    <xdr:to>
      <xdr:col>13</xdr:col>
      <xdr:colOff>495300</xdr:colOff>
      <xdr:row>18</xdr:row>
      <xdr:rowOff>95251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producto">
              <a:extLst>
                <a:ext uri="{FF2B5EF4-FFF2-40B4-BE49-F238E27FC236}">
                  <a16:creationId xmlns:a16="http://schemas.microsoft.com/office/drawing/2014/main" id="{715CE36C-4309-46D9-8C81-B27B26AAE4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50" y="57151"/>
              <a:ext cx="12573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60802-8E10-4783-906C-31CC26948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FC018BE3-B326-4DB0-998A-B4C65195F49E}" sourceName="Categoria">
  <extLst>
    <x:ext xmlns:x15="http://schemas.microsoft.com/office/spreadsheetml/2010/11/main" uri="{2F2917AC-EB37-4324-AD4E-5DD8C200BD13}">
      <x15:tableSlicerCache tableId="6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19441E02-1E2B-4DDD-B34E-2E78E16B794D}" sourceName="Marca">
  <extLst>
    <x:ext xmlns:x15="http://schemas.microsoft.com/office/spreadsheetml/2010/11/main" uri="{2F2917AC-EB37-4324-AD4E-5DD8C200BD13}">
      <x15:tableSlicerCache tableId="6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5261F8EA-6983-4B1C-AED1-983B6A5EF9AB}" sourceName="vendedor">
  <extLst>
    <x:ext xmlns:x15="http://schemas.microsoft.com/office/spreadsheetml/2010/11/main" uri="{2F2917AC-EB37-4324-AD4E-5DD8C200BD13}">
      <x15:tableSlicerCache tableId="5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29EB8FF4-F237-42CC-9482-897C4037A5AD}" sourceName="producto">
  <extLst>
    <x:ext xmlns:x15="http://schemas.microsoft.com/office/spreadsheetml/2010/11/main" uri="{2F2917AC-EB37-4324-AD4E-5DD8C200BD13}">
      <x15:tableSlicerCache tableId="5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23B3EAB9-BB06-428A-9D84-644C0A51A5CF}" cache="SegmentaciónDeDatos_Categoria" caption="Categoria" rowHeight="241300"/>
  <slicer name="Marca" xr10:uid="{F99014BB-0E35-4B1F-8C32-0C84C2E19F05}" cache="SegmentaciónDeDatos_Marca" caption="Marc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C88BB6D9-370A-43D5-A48A-0A572F08DBE9}" cache="SegmentaciónDeDatos_vendedor" caption="vendedor" rowHeight="241300"/>
  <slicer name="producto" xr10:uid="{9FC707E9-2412-459E-A110-426E697D0EDB}" cache="SegmentaciónDeDatos_producto" caption="produc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Tabla_empleados" displayName="Tabla_empleados" ref="B1:F6" totalsRowShown="0">
  <autoFilter ref="B1:F6" xr:uid="{7DAC5F66-FDAB-4B10-8475-ECE8FAEEF22D}"/>
  <tableColumns count="5">
    <tableColumn id="1" xr3:uid="{9B2FABCB-122E-4021-BCB9-1ABCF38F08D1}" name="CODIGO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P1:W2" totalsRowShown="0">
  <autoFilter ref="P1:W2" xr:uid="{21CB7767-E429-4D32-8B4C-B110EB0BC09A}"/>
  <tableColumns count="8">
    <tableColumn id="1" xr3:uid="{D0C157DB-5866-4540-85DA-CA9246E3491C}" name="HOY" dataDxfId="62">
      <calculatedColumnFormula>TODAY()</calculatedColumnFormula>
    </tableColumn>
    <tableColumn id="2" xr3:uid="{F19B6CA2-44B0-4AA2-94E5-4821559CF825}" name="AHORA" dataDxfId="61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Tabla_datos" displayName="Tabla_datos" ref="B1:N6" totalsRowShown="0" headerRowDxfId="60" dataDxfId="59">
  <autoFilter ref="B1:N6" xr:uid="{A8CA9039-9259-406D-B167-9DC94801EDAB}"/>
  <tableColumns count="13">
    <tableColumn id="1" xr3:uid="{1E40E760-3B7A-46CB-ADE6-9C36221D8FBE}" name="empleado" dataDxfId="58">
      <calculatedColumnFormula>TRIM(Tabla_presentismo[[#This Row],[Empleado]])</calculatedColumnFormula>
    </tableColumn>
    <tableColumn id="2" xr3:uid="{A673056C-D666-4A82-8F15-DA591ECD51CD}" name="APELLIDO" dataDxfId="57">
      <calculatedColumnFormula>LEFT(Tabla_datos[[#This Row],[empleado]],Tabla_datos[[#This Row],[p]] - 1)</calculatedColumnFormula>
    </tableColumn>
    <tableColumn id="3" xr3:uid="{98D588C0-9131-404A-823E-4F312157B4EE}" name="NOMBRE" dataDxfId="56">
      <calculatedColumnFormula>RIGHT(Tabla_datos[[#This Row],[empleado]],Tabla_datos[[#This Row],[largo]] - Tabla_datos[[#This Row],[p]] - 1)</calculatedColumnFormula>
    </tableColumn>
    <tableColumn id="4" xr3:uid="{DA16E63D-3C7B-4235-BC8E-3EB411EC2AF9}" name="NACIMIENTO" dataDxfId="55"/>
    <tableColumn id="5" xr3:uid="{D65F57BC-8164-4AB7-8337-DE00B9FD8A3A}" name="AÑOS" dataDxfId="54">
      <calculatedColumnFormula array="1">tiempo[AÑO]-YEAR(Tabla_datos[[#This Row],[NACIMIENTO]])</calculatedColumnFormula>
    </tableColumn>
    <tableColumn id="6" xr3:uid="{906FCDA3-636B-4283-9205-7AF46F977290}" name="EDAD" dataDxfId="53" dataCellStyle="Millares">
      <calculatedColumnFormula>(hoy-Tabla_datos[[#This Row],[NACIMIENTO]])/365</calculatedColumnFormula>
    </tableColumn>
    <tableColumn id="7" xr3:uid="{019FA1D5-4F09-4717-AE40-B6C31AA7DC9C}" name="CUIL" dataDxfId="52"/>
    <tableColumn id="8" xr3:uid="{FECB634B-7A6D-4C5C-80DC-9D64C533A46D}" name="G" dataDxfId="51">
      <calculatedColumnFormula>LEFT(Tabla_datos[[#This Row],[CUIL]],2)</calculatedColumnFormula>
    </tableColumn>
    <tableColumn id="9" xr3:uid="{4DAF6AA5-E15E-4B0E-A6B3-0413A3FC7025}" name="DOCMENTO" dataDxfId="50">
      <calculatedColumnFormula>MID(Tabla_datos[[#This Row],[CUIL]],4,8)</calculatedColumnFormula>
    </tableColumn>
    <tableColumn id="10" xr3:uid="{98242B92-44B0-46D8-B255-BEFE9B217C6E}" name="V" dataDxfId="49">
      <calculatedColumnFormula>RIGHT(Tabla_datos[[#This Row],[CUIL]],1)</calculatedColumnFormula>
    </tableColumn>
    <tableColumn id="11" xr3:uid="{96F6AC38-E0D7-4538-BF50-B26B716ECD40}" name="char" dataDxfId="48"/>
    <tableColumn id="12" xr3:uid="{900EA9DF-7806-4E2A-BE95-A5AA6FF29C93}" name="p" dataDxfId="47">
      <calculatedColumnFormula>FIND(Tabla_datos[[#This Row],[char]],Tabla_datos[[#This Row],[empleado]])</calculatedColumnFormula>
    </tableColumn>
    <tableColumn id="13" xr3:uid="{7A21E3B8-95EE-4371-95D5-EA3889520837}" name="largo" dataDxfId="46">
      <calculatedColumnFormula>LEN(Tabla_datos[[#This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Tabla_presentismo" displayName="Tabla_presentismo" ref="B1:AH6" totalsRowShown="0" headerRowDxfId="45" dataDxfId="44">
  <autoFilter ref="B1:AH6" xr:uid="{5F56470C-30B4-4EBD-BFC4-C92DB644C2CF}"/>
  <tableColumns count="33">
    <tableColumn id="1" xr3:uid="{83429F3A-0633-41B4-A217-0D30DFCF116B}" name="Empleado" dataDxfId="43">
      <calculatedColumnFormula>_xlfn.CONCAT(Tabla_empleados[[#This Row],[APELLIDO]]&amp;"; "&amp;Tabla_empleados[[#This Row],[NOMBRE]])</calculatedColumnFormula>
    </tableColumn>
    <tableColumn id="2" xr3:uid="{887EC86C-1521-40B0-A6C3-0B2B3230C024}" name="1/11/22" dataDxfId="42"/>
    <tableColumn id="3" xr3:uid="{C8618297-DB24-4382-BD1E-E53E7DB10A63}" name="2/11/22" dataDxfId="41"/>
    <tableColumn id="4" xr3:uid="{6182BB9D-62C7-4740-9A83-3BF4CE62D8C0}" name="3/11/22" dataDxfId="40"/>
    <tableColumn id="5" xr3:uid="{C4722C79-3465-44B4-AAFE-AED718DFEF78}" name="4/11/22" dataDxfId="39"/>
    <tableColumn id="6" xr3:uid="{443CA749-360E-405C-BCF0-3AA088ECB546}" name="5/11/22" dataDxfId="38"/>
    <tableColumn id="7" xr3:uid="{DDC8BC93-6522-4621-A6CE-E663DAA5E060}" name="6/11/22" dataDxfId="37"/>
    <tableColumn id="8" xr3:uid="{044D1592-31CC-4BD8-9305-F821CBDE87C3}" name="7/11/22" dataDxfId="36"/>
    <tableColumn id="9" xr3:uid="{58B8F006-DDC6-45D4-913C-A9728CE4DEEB}" name="8/11/22" dataDxfId="35"/>
    <tableColumn id="10" xr3:uid="{2E67B63B-C7A3-4447-B240-2206A83EB1AE}" name="9/11/22" dataDxfId="34"/>
    <tableColumn id="11" xr3:uid="{E063B5BB-2482-4A97-B99C-CEE9E8FBC8AD}" name="10/11/22" dataDxfId="33"/>
    <tableColumn id="12" xr3:uid="{C388062D-2D19-400D-9799-432AF612D74D}" name="11/11/22" dataDxfId="32"/>
    <tableColumn id="13" xr3:uid="{AC73BB9A-6A78-4DB1-885C-194594FB6F10}" name="12/11/22" dataDxfId="31"/>
    <tableColumn id="14" xr3:uid="{06A3A94F-6999-487D-ABBD-26DFBE539387}" name="13/11/22" dataDxfId="30"/>
    <tableColumn id="15" xr3:uid="{50DAE1CB-9B50-4836-80C2-0F7D5D1DBF7E}" name="14/11/22" dataDxfId="29"/>
    <tableColumn id="16" xr3:uid="{BA731102-2D66-4B65-A41F-E60E74E4BC71}" name="15/11/22" dataDxfId="28"/>
    <tableColumn id="17" xr3:uid="{B971CE8E-7E54-4964-AB64-E900A025F05F}" name="16/11/22" dataDxfId="27"/>
    <tableColumn id="18" xr3:uid="{F3A47F16-27A5-4C5D-BF2D-83E030C5E47F}" name="17/11/22" dataDxfId="26"/>
    <tableColumn id="19" xr3:uid="{2DD162DD-96E2-41F4-AD3B-2ACC01BBF7A8}" name="18/11/22" dataDxfId="25"/>
    <tableColumn id="20" xr3:uid="{55AD600E-9E3F-4481-BAF3-174F391E80B6}" name="19/11/22" dataDxfId="24"/>
    <tableColumn id="21" xr3:uid="{CB5594F7-50A6-4AB3-8C66-47AE394E8A42}" name="20/11/22" dataDxfId="23"/>
    <tableColumn id="22" xr3:uid="{9BAC2972-6A5B-4717-B16D-0F035A83C001}" name="21/11/22" dataDxfId="22"/>
    <tableColumn id="23" xr3:uid="{2C7E1E57-A0FD-43F5-A1C0-D9CEF839010F}" name="22/11/22" dataDxfId="21"/>
    <tableColumn id="24" xr3:uid="{BF09FF2E-08CF-4C77-B995-FA552B07331C}" name="23/11/22" dataDxfId="20"/>
    <tableColumn id="25" xr3:uid="{F95FD232-FFA9-4C2A-8A79-A314A99627B1}" name="24/11/22" dataDxfId="19"/>
    <tableColumn id="26" xr3:uid="{4157B269-FC1E-4344-80EE-594F0938411C}" name="25/11/22" dataDxfId="18"/>
    <tableColumn id="27" xr3:uid="{500155F2-C488-4E91-95A3-7525D567F566}" name="26/11/22" dataDxfId="17"/>
    <tableColumn id="28" xr3:uid="{5743E408-8FAC-44AE-81BD-FE1F0BA91CEB}" name="27/11/22" dataDxfId="16"/>
    <tableColumn id="29" xr3:uid="{919A6993-970F-452F-9B2D-9D06989985BF}" name="28/11/22" dataDxfId="15"/>
    <tableColumn id="30" xr3:uid="{6FCC3D91-E530-49DC-9803-12984CBA6BE9}" name="29/11/22" dataDxfId="14"/>
    <tableColumn id="31" xr3:uid="{E6DAAE99-A983-4374-B5B5-FA292704266A}" name="30/11/22" dataDxfId="13"/>
    <tableColumn id="32" xr3:uid="{9612EC83-2684-4EAF-A263-5FD181F5472E}" name="ASIST" dataDxfId="12">
      <calculatedColumnFormula>COUNTA(C2:AF2)</calculatedColumnFormula>
    </tableColumn>
    <tableColumn id="33" xr3:uid="{CF4CC9FE-4916-47D6-BF2F-CC31868C00D4}" name="AUS" dataDxfId="11">
      <calculatedColumnFormula>COUNTBLANK(C2:AF2)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77C96-8576-4B15-BA17-2BD00049CD30}" name="Tabla_productos" displayName="Tabla_productos" ref="B1:G10" totalsRowShown="0">
  <autoFilter ref="B1:G10" xr:uid="{3D377C96-8576-4B15-BA17-2BD00049CD30}"/>
  <sortState xmlns:xlrd2="http://schemas.microsoft.com/office/spreadsheetml/2017/richdata2" ref="B2:G6">
    <sortCondition ref="B1:B6"/>
  </sortState>
  <tableColumns count="6">
    <tableColumn id="1" xr3:uid="{19D818B5-BCFA-46E0-9471-293C1526FBFE}" name="codigo"/>
    <tableColumn id="2" xr3:uid="{8D23CB7C-A514-4DDD-B24A-84FC2BD4348C}" name="Descripcion"/>
    <tableColumn id="5" xr3:uid="{537A129A-9889-46D9-8F7B-AF31B4ECDA4F}" name="Categoria"/>
    <tableColumn id="6" xr3:uid="{B207637B-3D2B-4A4A-BC6D-E88E8AF9C86F}" name="Marca"/>
    <tableColumn id="3" xr3:uid="{AC6F69EE-E287-486C-93CE-CB4F0DFE213C}" name="precio" dataDxfId="6" dataCellStyle="Moneda"/>
    <tableColumn id="4" xr3:uid="{2810369F-142D-4CC6-B71E-B4100767C960}" name="Stoc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713EBC-B864-45CC-8B85-091131957A0F}" name="Tabla_ventas" displayName="Tabla_ventas" ref="B1:I12" totalsRowCount="1" headerRowDxfId="7" dataDxfId="8" headerRowCellStyle="Moneda" dataCellStyle="Moneda">
  <autoFilter ref="B1:I11" xr:uid="{8CD3FF01-9040-4806-AC6E-6DE86411CAF8}">
    <filterColumn colId="1">
      <filters>
        <filter val="2"/>
      </filters>
    </filterColumn>
    <filterColumn colId="2">
      <filters>
        <filter val="4"/>
      </filters>
    </filterColumn>
  </autoFilter>
  <sortState xmlns:xlrd2="http://schemas.microsoft.com/office/spreadsheetml/2017/richdata2" ref="B2:I11">
    <sortCondition ref="B1:B11"/>
  </sortState>
  <tableColumns count="8">
    <tableColumn id="1" xr3:uid="{639A0A80-9D3F-4E73-A08F-D95A9C1525BD}" name="codigo" totalsRowLabel="Total"/>
    <tableColumn id="2" xr3:uid="{B5B3A760-4E23-4C46-A4D9-83EB9C7AA444}" name="vendedor"/>
    <tableColumn id="3" xr3:uid="{2BCCB3FC-114B-4ABF-8B8A-4699E7E05B7A}" name="producto"/>
    <tableColumn id="4" xr3:uid="{382CB23A-8AA8-4F37-A270-4ECBE08338DF}" name="cant"/>
    <tableColumn id="5" xr3:uid="{0E820465-6116-42AB-B3CF-5577B88E0317}" name="precio" totalsRowFunction="countNums" dataDxfId="10" totalsRowDxfId="2" dataCellStyle="Moneda"/>
    <tableColumn id="6" xr3:uid="{99144CA1-4D07-4C46-89AF-C64FF2EC5C32}" name="total" totalsRowFunction="sum" dataDxfId="9" totalsRowDxfId="0" dataCellStyle="Moneda">
      <calculatedColumnFormula>cant*precio</calculatedColumnFormula>
    </tableColumn>
    <tableColumn id="7" xr3:uid="{5B78A9FD-6297-4C03-91CC-D40B43A95930}" name="iva" totalsRowFunction="sum" dataDxfId="5" totalsRowDxfId="1" dataCellStyle="Moneda">
      <calculatedColumnFormula>Tabla_ventas[[#This Row],[total]]*iva</calculatedColumnFormula>
    </tableColumn>
    <tableColumn id="8" xr3:uid="{ED091CDD-F115-4839-B377-BE458A5E65A1}" name="final" totalsRowFunction="sum" dataDxfId="4" totalsRowDxfId="3" dataCellStyle="Moneda" totalsRowCellStyle="Moneda">
      <calculatedColumnFormula>Tabla_ventas[[#This Row],[total]] +Tabla_ventas[[#This Row],[iva]]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s\atajos-teclado.doc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hyperlink" Target="https://github.com/c215714n/EducacionIT/tree/excel-v10" TargetMode="Externa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introduccio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BBC-F064-4678-AF8C-C3D428764205}">
  <dimension ref="A1:H4"/>
  <sheetViews>
    <sheetView tabSelected="1" zoomScale="160" zoomScaleNormal="160" workbookViewId="0">
      <selection sqref="A1:A4"/>
    </sheetView>
  </sheetViews>
  <sheetFormatPr baseColWidth="10" defaultRowHeight="15" x14ac:dyDescent="0.25"/>
  <cols>
    <col min="1" max="1" width="9.5703125" customWidth="1"/>
    <col min="8" max="8" width="4.85546875" customWidth="1"/>
  </cols>
  <sheetData>
    <row r="1" spans="1:8" ht="60" customHeight="1" x14ac:dyDescent="0.25">
      <c r="A1" s="33"/>
      <c r="H1" s="32" t="s">
        <v>108</v>
      </c>
    </row>
    <row r="2" spans="1:8" x14ac:dyDescent="0.25">
      <c r="A2" s="33"/>
      <c r="B2" s="29" t="s">
        <v>98</v>
      </c>
      <c r="C2" s="29" t="s">
        <v>99</v>
      </c>
      <c r="D2" s="29" t="s">
        <v>100</v>
      </c>
      <c r="E2" s="29" t="s">
        <v>101</v>
      </c>
      <c r="F2" s="29" t="s">
        <v>102</v>
      </c>
      <c r="G2" s="29" t="s">
        <v>50</v>
      </c>
      <c r="H2" s="32"/>
    </row>
    <row r="3" spans="1:8" ht="60" customHeight="1" x14ac:dyDescent="0.25">
      <c r="A3" s="33"/>
      <c r="B3" s="28"/>
      <c r="C3" s="28"/>
      <c r="D3" s="28"/>
      <c r="E3" s="28"/>
      <c r="F3" s="28"/>
      <c r="G3" s="28"/>
      <c r="H3" s="32" t="s">
        <v>109</v>
      </c>
    </row>
    <row r="4" spans="1:8" x14ac:dyDescent="0.25">
      <c r="A4" s="33"/>
      <c r="B4" s="29" t="s">
        <v>103</v>
      </c>
      <c r="C4" s="29" t="s">
        <v>104</v>
      </c>
      <c r="D4" s="29" t="s">
        <v>105</v>
      </c>
      <c r="E4" s="29" t="s">
        <v>111</v>
      </c>
      <c r="F4" s="29" t="s">
        <v>106</v>
      </c>
      <c r="G4" s="29" t="s">
        <v>107</v>
      </c>
      <c r="H4" s="32"/>
    </row>
  </sheetData>
  <mergeCells count="3">
    <mergeCell ref="H1:H2"/>
    <mergeCell ref="H3:H4"/>
    <mergeCell ref="A1:A4"/>
  </mergeCells>
  <hyperlinks>
    <hyperlink ref="B2" location="empleados!A1" display="Empleados" xr:uid="{6804FC27-9203-4DBA-8D6C-376C27FE298D}"/>
    <hyperlink ref="C2" location="datos!A1" display="Datos" xr:uid="{95B4B2CA-F76F-4EDE-AD89-FABD1945827F}"/>
    <hyperlink ref="D2" location="presentismo!A1" display="Asistencia" xr:uid="{721BE012-66AF-40FB-8AA4-88D83F8A65DF}"/>
    <hyperlink ref="E2" location="productos!A1" display="Productos" xr:uid="{879548AE-FA71-43F2-A80B-9451463218EE}"/>
    <hyperlink ref="F2" location="ventas!A1" display="Ventas" xr:uid="{6E77832F-4432-4CDA-92E6-41CCFC5503FD}"/>
    <hyperlink ref="G2" location="estadisticas!A1" display="Estadisticas" xr:uid="{7EA053B9-79E3-4EA2-901A-779E743F5AFC}"/>
    <hyperlink ref="B4" r:id="rId1" xr:uid="{469E7BDF-AAAE-4702-AFCD-1FFC79427B87}"/>
    <hyperlink ref="C4" r:id="rId2" xr:uid="{580195E5-4F03-40CD-BE17-C7D722BA18BB}"/>
    <hyperlink ref="D4" r:id="rId3" xr:uid="{FFEBE6DB-262E-4357-8099-4D0AA8A0BE5A}"/>
    <hyperlink ref="E4" r:id="rId4" xr:uid="{EFA6FED0-2644-4928-8B05-19C80BA7BDEB}"/>
    <hyperlink ref="F4" r:id="rId5" xr:uid="{9512EF5E-D632-428D-889F-850ADAE7EC32}"/>
    <hyperlink ref="G4" r:id="rId6" xr:uid="{665BA96F-F433-485B-9104-A5BA73049A78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G6"/>
  <sheetViews>
    <sheetView zoomScale="145" zoomScaleNormal="145" workbookViewId="0">
      <pane ySplit="1" topLeftCell="A2" activePane="bottomLeft" state="frozen"/>
      <selection pane="bottomLeft" activeCell="C3" sqref="C3"/>
    </sheetView>
  </sheetViews>
  <sheetFormatPr baseColWidth="10" defaultRowHeight="15" x14ac:dyDescent="0.25"/>
  <cols>
    <col min="2" max="2" width="9.140625" bestFit="1" customWidth="1"/>
    <col min="3" max="3" width="10.5703125" bestFit="1" customWidth="1"/>
    <col min="4" max="4" width="16.5703125" bestFit="1" customWidth="1"/>
    <col min="5" max="5" width="10.42578125" bestFit="1" customWidth="1"/>
    <col min="6" max="6" width="8.7109375" bestFit="1" customWidth="1"/>
    <col min="7" max="7" width="4.42578125" customWidth="1"/>
    <col min="8" max="8" width="8.140625" bestFit="1" customWidth="1"/>
    <col min="9" max="9" width="9.42578125" bestFit="1" customWidth="1"/>
    <col min="10" max="10" width="8.85546875" bestFit="1" customWidth="1"/>
    <col min="11" max="11" width="7.5703125" bestFit="1" customWidth="1"/>
    <col min="12" max="12" width="7.7109375" bestFit="1" customWidth="1"/>
    <col min="13" max="13" width="8.140625" bestFit="1" customWidth="1"/>
    <col min="14" max="14" width="7.140625" bestFit="1" customWidth="1"/>
    <col min="15" max="15" width="6.42578125" bestFit="1" customWidth="1"/>
    <col min="16" max="16" width="5.85546875" bestFit="1" customWidth="1"/>
    <col min="17" max="17" width="6.7109375" bestFit="1" customWidth="1"/>
    <col min="18" max="18" width="5" bestFit="1" customWidth="1"/>
  </cols>
  <sheetData>
    <row r="1" spans="1:7" x14ac:dyDescent="0.25">
      <c r="A1" s="30" t="s">
        <v>110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7" x14ac:dyDescent="0.25">
      <c r="B2">
        <v>1</v>
      </c>
      <c r="C2" t="s">
        <v>79</v>
      </c>
      <c r="D2" t="s">
        <v>78</v>
      </c>
      <c r="E2" t="s">
        <v>1</v>
      </c>
      <c r="F2" t="s">
        <v>2</v>
      </c>
    </row>
    <row r="3" spans="1:7" x14ac:dyDescent="0.25">
      <c r="B3">
        <v>2</v>
      </c>
      <c r="C3" t="s">
        <v>79</v>
      </c>
      <c r="D3" t="s">
        <v>80</v>
      </c>
      <c r="E3" t="s">
        <v>3</v>
      </c>
      <c r="F3" t="s">
        <v>4</v>
      </c>
    </row>
    <row r="4" spans="1:7" x14ac:dyDescent="0.25">
      <c r="B4">
        <v>3</v>
      </c>
      <c r="C4" t="s">
        <v>81</v>
      </c>
      <c r="D4" t="s">
        <v>82</v>
      </c>
      <c r="E4" t="s">
        <v>14</v>
      </c>
      <c r="F4" t="s">
        <v>2</v>
      </c>
      <c r="G4" s="10"/>
    </row>
    <row r="5" spans="1:7" x14ac:dyDescent="0.25">
      <c r="B5">
        <v>4</v>
      </c>
      <c r="C5" s="20" t="s">
        <v>61</v>
      </c>
      <c r="D5" t="s">
        <v>83</v>
      </c>
      <c r="E5" t="s">
        <v>62</v>
      </c>
      <c r="F5" t="s">
        <v>65</v>
      </c>
    </row>
    <row r="6" spans="1:7" x14ac:dyDescent="0.25">
      <c r="B6">
        <v>5</v>
      </c>
      <c r="C6" s="20" t="s">
        <v>84</v>
      </c>
      <c r="D6" t="s">
        <v>85</v>
      </c>
      <c r="E6" t="s">
        <v>63</v>
      </c>
      <c r="F6" t="s">
        <v>65</v>
      </c>
    </row>
  </sheetData>
  <phoneticPr fontId="7" type="noConversion"/>
  <hyperlinks>
    <hyperlink ref="C5" r:id="rId1" display="https://www.cuitonline.com/detalle/27452414711/osses-shakira-alejandra.html" xr:uid="{F2232659-C17D-4204-940D-345947882C0E}"/>
    <hyperlink ref="A1" location="menu!A1" display="atras" xr:uid="{6F69DE94-24BD-458D-80F6-2667C9EE1C4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A1:W6"/>
  <sheetViews>
    <sheetView zoomScale="145" zoomScaleNormal="145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2" max="2" width="0.140625" customWidth="1"/>
    <col min="3" max="3" width="10.5703125" customWidth="1"/>
    <col min="4" max="4" width="16.5703125" bestFit="1" customWidth="1"/>
    <col min="5" max="5" width="13.140625" customWidth="1"/>
    <col min="6" max="6" width="0.28515625" hidden="1" customWidth="1"/>
    <col min="7" max="7" width="7.7109375" bestFit="1" customWidth="1"/>
    <col min="8" max="8" width="14" bestFit="1" customWidth="1"/>
    <col min="9" max="9" width="4.28515625" bestFit="1" customWidth="1"/>
    <col min="10" max="10" width="12.28515625" bestFit="1" customWidth="1"/>
    <col min="11" max="11" width="3.42578125" customWidth="1"/>
    <col min="12" max="12" width="0.28515625" hidden="1" customWidth="1"/>
    <col min="13" max="13" width="4.42578125" hidden="1" customWidth="1"/>
    <col min="14" max="14" width="7.7109375" hidden="1" customWidth="1"/>
  </cols>
  <sheetData>
    <row r="1" spans="1:23" x14ac:dyDescent="0.25">
      <c r="A1" s="30" t="s">
        <v>110</v>
      </c>
      <c r="B1" t="s">
        <v>74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s="4" t="s">
        <v>94</v>
      </c>
      <c r="I1" s="4" t="s">
        <v>95</v>
      </c>
      <c r="J1" s="4" t="s">
        <v>96</v>
      </c>
      <c r="K1" s="5" t="s">
        <v>97</v>
      </c>
      <c r="L1" s="25" t="s">
        <v>75</v>
      </c>
      <c r="M1" s="25" t="s">
        <v>64</v>
      </c>
      <c r="N1" s="25" t="s">
        <v>77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B2" t="str">
        <f>TRIM(Tabla_presentismo[[#This Row],[Empleado]])</f>
        <v>racedo; cristian Damian</v>
      </c>
      <c r="C2" t="str">
        <f>LEFT(Tabla_datos[[#This Row],[empleado]],Tabla_datos[[#This Row],[p]] - 1)</f>
        <v>racedo</v>
      </c>
      <c r="D2" t="str">
        <f>RIGHT(Tabla_datos[[#This Row],[empleado]],Tabla_datos[[#This Row],[largo]] - Tabla_datos[[#This Row],[p]] - 1)</f>
        <v>cristian Damian</v>
      </c>
      <c r="E2" s="1">
        <v>33346</v>
      </c>
      <c r="F2" s="23" cm="1">
        <f t="array" aca="1" ref="F2" ca="1">tiempo[AÑO]-YEAR(Tabla_datos[[#This Row],[NACIMIENTO]])</f>
        <v>31</v>
      </c>
      <c r="G2" s="24">
        <f ca="1">(hoy-Tabla_datos[[#This Row],[NACIMIENTO]])/365</f>
        <v>31.684931506849313</v>
      </c>
      <c r="H2" s="6" t="s">
        <v>6</v>
      </c>
      <c r="I2" s="6" t="str">
        <f>LEFT(Tabla_datos[[#This Row],[CUIL]],2)</f>
        <v>20</v>
      </c>
      <c r="J2" s="6" t="str">
        <f>MID(Tabla_datos[[#This Row],[CUIL]],4,8)</f>
        <v>35336446</v>
      </c>
      <c r="K2" s="7" t="str">
        <f>RIGHT(Tabla_datos[[#This Row],[CUIL]],1)</f>
        <v>5</v>
      </c>
      <c r="L2" s="26" t="s">
        <v>76</v>
      </c>
      <c r="M2" s="26">
        <f>FIND(Tabla_datos[[#This Row],[char]],Tabla_datos[[#This Row],[empleado]])</f>
        <v>7</v>
      </c>
      <c r="N2" s="26">
        <f>LEN(Tabla_datos[[#This Row],[empleado]])</f>
        <v>23</v>
      </c>
      <c r="P2" s="1">
        <f ca="1">TODAY()</f>
        <v>44911</v>
      </c>
      <c r="Q2" s="22">
        <f ca="1">NOW()</f>
        <v>44911.539798148151</v>
      </c>
      <c r="R2">
        <f ca="1">YEAR(hoy)</f>
        <v>2022</v>
      </c>
      <c r="S2">
        <f ca="1">MONTH(hoy)</f>
        <v>12</v>
      </c>
      <c r="T2">
        <f ca="1">DAY(hoy)</f>
        <v>16</v>
      </c>
      <c r="U2">
        <f ca="1">HOUR(ahora)</f>
        <v>12</v>
      </c>
      <c r="V2">
        <f ca="1">MINUTE(ahora)</f>
        <v>57</v>
      </c>
      <c r="W2">
        <f ca="1">SECOND(ahora)</f>
        <v>19</v>
      </c>
    </row>
    <row r="3" spans="1:23" x14ac:dyDescent="0.25">
      <c r="B3" t="str">
        <f>TRIM(Tabla_presentismo[[#This Row],[Empleado]])</f>
        <v>racedo; Abel Alejandro</v>
      </c>
      <c r="C3" t="str">
        <f>LEFT(Tabla_datos[[#This Row],[empleado]],Tabla_datos[[#This Row],[p]] - 1)</f>
        <v>racedo</v>
      </c>
      <c r="D3" t="str">
        <f>RIGHT(Tabla_datos[[#This Row],[empleado]],Tabla_datos[[#This Row],[largo]] - Tabla_datos[[#This Row],[p]] - 1)</f>
        <v>Abel Alejandro</v>
      </c>
      <c r="E3" s="1">
        <v>34254</v>
      </c>
      <c r="F3" s="23" cm="1">
        <f t="array" aca="1" ref="F3" ca="1">tiempo[AÑO]-YEAR(Tabla_datos[[#This Row],[NACIMIENTO]])</f>
        <v>29</v>
      </c>
      <c r="G3" s="24">
        <f ca="1">(hoy-Tabla_datos[[#This Row],[NACIMIENTO]])/365</f>
        <v>29.197260273972603</v>
      </c>
      <c r="H3" s="8" t="s">
        <v>5</v>
      </c>
      <c r="I3" s="8" t="str">
        <f>LEFT(Tabla_datos[[#This Row],[CUIL]],2)</f>
        <v>20</v>
      </c>
      <c r="J3" s="8" t="str">
        <f>MID(Tabla_datos[[#This Row],[CUIL]],4,8)</f>
        <v>38558443</v>
      </c>
      <c r="K3" s="9" t="str">
        <f>RIGHT(Tabla_datos[[#This Row],[CUIL]],1)</f>
        <v>6</v>
      </c>
      <c r="L3" s="27" t="s">
        <v>76</v>
      </c>
      <c r="M3" s="27">
        <f>FIND(Tabla_datos[[#This Row],[char]],Tabla_datos[[#This Row],[empleado]])</f>
        <v>7</v>
      </c>
      <c r="N3" s="27">
        <f>LEN(Tabla_datos[[#This Row],[empleado]])</f>
        <v>22</v>
      </c>
    </row>
    <row r="4" spans="1:23" x14ac:dyDescent="0.25">
      <c r="B4" t="str">
        <f>TRIM(Tabla_presentismo[[#This Row],[Empleado]])</f>
        <v>Aguilera; Cristina</v>
      </c>
      <c r="C4" t="str">
        <f>LEFT(Tabla_datos[[#This Row],[empleado]],Tabla_datos[[#This Row],[p]] - 1)</f>
        <v>Aguilera</v>
      </c>
      <c r="D4" t="str">
        <f>RIGHT(Tabla_datos[[#This Row],[empleado]],Tabla_datos[[#This Row],[largo]] - Tabla_datos[[#This Row],[p]] - 1)</f>
        <v>Cristina</v>
      </c>
      <c r="E4" s="1">
        <v>29573</v>
      </c>
      <c r="F4" s="23" cm="1">
        <f t="array" aca="1" ref="F4" ca="1">tiempo[AÑO]-YEAR(Tabla_datos[[#This Row],[NACIMIENTO]])</f>
        <v>42</v>
      </c>
      <c r="G4" s="24">
        <f ca="1">(hoy-Tabla_datos[[#This Row],[NACIMIENTO]])/365</f>
        <v>42.021917808219179</v>
      </c>
      <c r="H4" s="6" t="s">
        <v>15</v>
      </c>
      <c r="I4" s="6" t="str">
        <f>LEFT(Tabla_datos[[#This Row],[CUIL]],2)</f>
        <v>27</v>
      </c>
      <c r="J4" s="6" t="str">
        <f>MID(Tabla_datos[[#This Row],[CUIL]],4,8)</f>
        <v>14093915</v>
      </c>
      <c r="K4" s="7" t="str">
        <f>RIGHT(Tabla_datos[[#This Row],[CUIL]],1)</f>
        <v>9</v>
      </c>
      <c r="L4" s="26" t="s">
        <v>76</v>
      </c>
      <c r="M4" s="26">
        <f>FIND(Tabla_datos[[#This Row],[char]],Tabla_datos[[#This Row],[empleado]])</f>
        <v>9</v>
      </c>
      <c r="N4" s="26">
        <f>LEN(Tabla_datos[[#This Row],[empleado]])</f>
        <v>18</v>
      </c>
    </row>
    <row r="5" spans="1:23" x14ac:dyDescent="0.25">
      <c r="B5" t="str">
        <f>TRIM(Tabla_presentismo[[#This Row],[Empleado]])</f>
        <v>Osses; Shakira Alejandra</v>
      </c>
      <c r="C5" t="str">
        <f>LEFT(Tabla_datos[[#This Row],[empleado]],Tabla_datos[[#This Row],[p]] - 1)</f>
        <v>Osses</v>
      </c>
      <c r="D5" t="str">
        <f>RIGHT(Tabla_datos[[#This Row],[empleado]],Tabla_datos[[#This Row],[largo]] - Tabla_datos[[#This Row],[p]] - 1)</f>
        <v>Shakira Alejandra</v>
      </c>
      <c r="E5" s="1">
        <v>28158</v>
      </c>
      <c r="F5" s="23" cm="1">
        <f t="array" aca="1" ref="F5" ca="1">tiempo[AÑO]-YEAR(Tabla_datos[[#This Row],[NACIMIENTO]])</f>
        <v>45</v>
      </c>
      <c r="G5" s="24">
        <f ca="1">(hoy-Tabla_datos[[#This Row],[NACIMIENTO]])/365</f>
        <v>45.898630136986299</v>
      </c>
      <c r="H5" s="8" t="s">
        <v>59</v>
      </c>
      <c r="I5" s="8" t="str">
        <f>LEFT(Tabla_datos[[#This Row],[CUIL]],2)</f>
        <v>27</v>
      </c>
      <c r="J5" s="8" t="str">
        <f>MID(Tabla_datos[[#This Row],[CUIL]],4,8)</f>
        <v>45241471</v>
      </c>
      <c r="K5" s="9" t="str">
        <f>RIGHT(Tabla_datos[[#This Row],[CUIL]],1)</f>
        <v>1</v>
      </c>
      <c r="L5" s="27" t="s">
        <v>76</v>
      </c>
      <c r="M5" s="27">
        <f>FIND(Tabla_datos[[#This Row],[char]],Tabla_datos[[#This Row],[empleado]])</f>
        <v>6</v>
      </c>
      <c r="N5" s="27">
        <f>LEN(Tabla_datos[[#This Row],[empleado]])</f>
        <v>24</v>
      </c>
    </row>
    <row r="6" spans="1:23" x14ac:dyDescent="0.25">
      <c r="B6" t="str">
        <f>TRIM(Tabla_presentismo[[#This Row],[Empleado]])</f>
        <v>Messi; Lionel Andres</v>
      </c>
      <c r="C6" t="str">
        <f>LEFT(Tabla_datos[[#This Row],[empleado]],Tabla_datos[[#This Row],[p]] - 1)</f>
        <v>Messi</v>
      </c>
      <c r="D6" t="str">
        <f>RIGHT(Tabla_datos[[#This Row],[empleado]],Tabla_datos[[#This Row],[largo]] - Tabla_datos[[#This Row],[p]] - 1)</f>
        <v>Lionel Andres</v>
      </c>
      <c r="E6" s="1">
        <v>31952</v>
      </c>
      <c r="F6" s="23" cm="1">
        <f t="array" aca="1" ref="F6" ca="1">tiempo[AÑO]-YEAR(Tabla_datos[[#This Row],[NACIMIENTO]])</f>
        <v>35</v>
      </c>
      <c r="G6" s="24">
        <f ca="1">(hoy-Tabla_datos[[#This Row],[NACIMIENTO]])/365</f>
        <v>35.504109589041093</v>
      </c>
      <c r="H6" s="6" t="s">
        <v>60</v>
      </c>
      <c r="I6" s="6" t="str">
        <f>LEFT(Tabla_datos[[#This Row],[CUIL]],2)</f>
        <v>23</v>
      </c>
      <c r="J6" s="6" t="str">
        <f>MID(Tabla_datos[[#This Row],[CUIL]],4,8)</f>
        <v>33016244</v>
      </c>
      <c r="K6" s="7" t="str">
        <f>RIGHT(Tabla_datos[[#This Row],[CUIL]],1)</f>
        <v>9</v>
      </c>
      <c r="L6" s="26" t="s">
        <v>76</v>
      </c>
      <c r="M6" s="26">
        <f>FIND(Tabla_datos[[#This Row],[char]],Tabla_datos[[#This Row],[empleado]])</f>
        <v>6</v>
      </c>
      <c r="N6" s="26">
        <f>LEN(Tabla_datos[[#This Row],[empleado]])</f>
        <v>20</v>
      </c>
    </row>
  </sheetData>
  <hyperlinks>
    <hyperlink ref="A1" location="menu!A1" display="atras" xr:uid="{C13B0C2E-F2EA-4890-B93A-A2EAF887F4AD}"/>
  </hyperlink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A1:AL31"/>
  <sheetViews>
    <sheetView zoomScale="145" zoomScaleNormal="14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RowHeight="15" x14ac:dyDescent="0.25"/>
  <cols>
    <col min="2" max="2" width="22.85546875" style="11" bestFit="1" customWidth="1"/>
    <col min="3" max="7" width="3.7109375" style="11" bestFit="1" customWidth="1"/>
    <col min="8" max="8" width="3.7109375" style="16" bestFit="1" customWidth="1"/>
    <col min="9" max="14" width="3.7109375" style="11" bestFit="1" customWidth="1"/>
    <col min="15" max="15" width="3.7109375" style="16" bestFit="1" customWidth="1"/>
    <col min="16" max="21" width="3.7109375" style="11" bestFit="1" customWidth="1"/>
    <col min="22" max="22" width="3.7109375" style="16" bestFit="1" customWidth="1"/>
    <col min="23" max="28" width="3.7109375" style="11" bestFit="1" customWidth="1"/>
    <col min="29" max="29" width="3.7109375" style="16" bestFit="1" customWidth="1"/>
    <col min="30" max="31" width="3.7109375" style="11" bestFit="1" customWidth="1"/>
    <col min="32" max="32" width="4.42578125" style="11" customWidth="1"/>
    <col min="33" max="33" width="8.28515625" style="11" bestFit="1" customWidth="1"/>
    <col min="34" max="34" width="8.28515625" bestFit="1" customWidth="1"/>
  </cols>
  <sheetData>
    <row r="1" spans="1:38" ht="45.75" x14ac:dyDescent="0.25">
      <c r="A1" s="31" t="s">
        <v>110</v>
      </c>
      <c r="B1" s="11" t="s">
        <v>16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3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3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3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3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J1" t="s">
        <v>50</v>
      </c>
      <c r="AK1" t="s">
        <v>52</v>
      </c>
      <c r="AL1" t="s">
        <v>51</v>
      </c>
    </row>
    <row r="2" spans="1:38" x14ac:dyDescent="0.25">
      <c r="B2" s="17" t="str">
        <f>_xlfn.CONCAT(Tabla_empleados[[#This Row],[APELLIDO]]&amp;"; "&amp;Tabla_empleados[[#This Row],[NOMBRE]])</f>
        <v>racedo; cristian Damian</v>
      </c>
      <c r="C2" s="14" t="s">
        <v>17</v>
      </c>
      <c r="D2" s="14"/>
      <c r="E2" s="14"/>
      <c r="F2" s="14" t="s">
        <v>17</v>
      </c>
      <c r="G2" s="14" t="s">
        <v>17</v>
      </c>
      <c r="H2" s="15"/>
      <c r="I2" s="14" t="s">
        <v>17</v>
      </c>
      <c r="J2" s="14"/>
      <c r="K2" s="14" t="s">
        <v>17</v>
      </c>
      <c r="L2" s="14"/>
      <c r="M2" s="14" t="s">
        <v>17</v>
      </c>
      <c r="N2" s="14" t="s">
        <v>17</v>
      </c>
      <c r="O2" s="15"/>
      <c r="P2" s="14" t="s">
        <v>17</v>
      </c>
      <c r="Q2" s="14"/>
      <c r="R2" s="14" t="s">
        <v>17</v>
      </c>
      <c r="S2" s="14"/>
      <c r="T2" s="14" t="s">
        <v>17</v>
      </c>
      <c r="U2" s="14" t="s">
        <v>17</v>
      </c>
      <c r="V2" s="15"/>
      <c r="W2" s="14"/>
      <c r="X2" s="14" t="s">
        <v>17</v>
      </c>
      <c r="Y2" s="14" t="s">
        <v>17</v>
      </c>
      <c r="Z2" s="14" t="s">
        <v>17</v>
      </c>
      <c r="AA2" s="14" t="s">
        <v>17</v>
      </c>
      <c r="AB2" s="14" t="s">
        <v>17</v>
      </c>
      <c r="AC2" s="15"/>
      <c r="AD2" s="14" t="s">
        <v>17</v>
      </c>
      <c r="AE2" s="14" t="s">
        <v>17</v>
      </c>
      <c r="AF2" s="14" t="s">
        <v>17</v>
      </c>
      <c r="AG2" s="18">
        <f>COUNTA(C2:AF2)</f>
        <v>19</v>
      </c>
      <c r="AH2" s="18">
        <f>COUNTBLANK(C2:AF2)</f>
        <v>11</v>
      </c>
      <c r="AJ2" t="s">
        <v>58</v>
      </c>
      <c r="AK2">
        <f>SUM(Tabla_presentismo[ASIST])</f>
        <v>88</v>
      </c>
      <c r="AL2">
        <f>SUM(Tabla_presentismo[AUS])</f>
        <v>62</v>
      </c>
    </row>
    <row r="3" spans="1:38" x14ac:dyDescent="0.25">
      <c r="B3" s="17" t="str">
        <f>_xlfn.CONCAT(Tabla_empleados[[#This Row],[APELLIDO]]&amp;"; "&amp;Tabla_empleados[[#This Row],[NOMBRE]])</f>
        <v>racedo; Abel Alejandro</v>
      </c>
      <c r="C3" s="14"/>
      <c r="D3" s="11" t="s">
        <v>17</v>
      </c>
      <c r="F3" s="11" t="s">
        <v>17</v>
      </c>
      <c r="J3" s="11" t="s">
        <v>17</v>
      </c>
      <c r="K3" s="11" t="s">
        <v>17</v>
      </c>
      <c r="L3" s="11" t="s">
        <v>17</v>
      </c>
      <c r="M3" s="14" t="s">
        <v>17</v>
      </c>
      <c r="N3" s="14"/>
      <c r="O3" s="14"/>
      <c r="P3" s="14" t="s">
        <v>17</v>
      </c>
      <c r="Q3" s="14"/>
      <c r="R3" s="14" t="s">
        <v>17</v>
      </c>
      <c r="S3" s="14" t="s">
        <v>17</v>
      </c>
      <c r="T3" s="11" t="s">
        <v>17</v>
      </c>
      <c r="W3" s="11" t="s">
        <v>17</v>
      </c>
      <c r="X3" s="11" t="s">
        <v>17</v>
      </c>
      <c r="Y3" s="11" t="s">
        <v>17</v>
      </c>
      <c r="Z3" s="11" t="s">
        <v>17</v>
      </c>
      <c r="AA3" s="11" t="s">
        <v>17</v>
      </c>
      <c r="AD3" s="11" t="s">
        <v>17</v>
      </c>
      <c r="AG3" s="18">
        <f t="shared" ref="AG3:AG4" si="0">COUNTA(C3:AF3)</f>
        <v>16</v>
      </c>
      <c r="AH3" s="18">
        <f t="shared" ref="AH3:AH4" si="1">COUNTBLANK(C3:AF3)</f>
        <v>14</v>
      </c>
      <c r="AJ3" t="s">
        <v>53</v>
      </c>
      <c r="AK3">
        <f>MAX(Tabla_presentismo[ASIST])</f>
        <v>19</v>
      </c>
      <c r="AL3">
        <f>MAX(Tabla_presentismo[AUS])</f>
        <v>14</v>
      </c>
    </row>
    <row r="4" spans="1:38" x14ac:dyDescent="0.25">
      <c r="B4" s="17" t="str">
        <f>_xlfn.CONCAT(Tabla_empleados[[#This Row],[APELLIDO]]&amp;"; "&amp;Tabla_empleados[[#This Row],[NOMBRE]])</f>
        <v>Aguilera; Cristina</v>
      </c>
      <c r="C4" s="14"/>
      <c r="D4" s="11" t="s">
        <v>17</v>
      </c>
      <c r="E4" s="11" t="s">
        <v>17</v>
      </c>
      <c r="F4" s="11" t="s">
        <v>17</v>
      </c>
      <c r="G4" s="11" t="s">
        <v>17</v>
      </c>
      <c r="I4" s="11" t="s">
        <v>17</v>
      </c>
      <c r="K4" s="11" t="s">
        <v>17</v>
      </c>
      <c r="N4" s="11" t="s">
        <v>17</v>
      </c>
      <c r="O4" s="11"/>
      <c r="P4" s="11" t="s">
        <v>17</v>
      </c>
      <c r="Q4" s="11" t="s">
        <v>17</v>
      </c>
      <c r="S4" s="11" t="s">
        <v>17</v>
      </c>
      <c r="T4" s="11" t="s">
        <v>17</v>
      </c>
      <c r="U4" s="11" t="s">
        <v>17</v>
      </c>
      <c r="W4" s="11" t="s">
        <v>17</v>
      </c>
      <c r="Y4" s="11" t="s">
        <v>17</v>
      </c>
      <c r="Z4" s="11" t="s">
        <v>17</v>
      </c>
      <c r="AA4" s="11" t="s">
        <v>17</v>
      </c>
      <c r="AB4" s="11" t="s">
        <v>17</v>
      </c>
      <c r="AE4" s="11" t="s">
        <v>17</v>
      </c>
      <c r="AF4" s="11" t="s">
        <v>17</v>
      </c>
      <c r="AG4" s="18">
        <f t="shared" si="0"/>
        <v>19</v>
      </c>
      <c r="AH4" s="18">
        <f t="shared" si="1"/>
        <v>11</v>
      </c>
      <c r="AJ4" t="s">
        <v>54</v>
      </c>
      <c r="AK4">
        <f>MIN(Tabla_presentismo[ASIST])</f>
        <v>16</v>
      </c>
      <c r="AL4">
        <f>MIN(Tabla_presentismo[AUS])</f>
        <v>11</v>
      </c>
    </row>
    <row r="5" spans="1:38" x14ac:dyDescent="0.25">
      <c r="B5" s="17" t="str">
        <f>_xlfn.CONCAT(Tabla_empleados[[#This Row],[APELLIDO]]&amp;"; "&amp;Tabla_empleados[[#This Row],[NOMBRE]])</f>
        <v>Osses; Shakira Alejandra</v>
      </c>
      <c r="C5" s="11" t="s">
        <v>17</v>
      </c>
      <c r="E5" s="11" t="s">
        <v>17</v>
      </c>
      <c r="G5" s="21" t="s">
        <v>64</v>
      </c>
      <c r="H5" s="11"/>
      <c r="I5" s="11" t="s">
        <v>17</v>
      </c>
      <c r="J5" s="11" t="s">
        <v>17</v>
      </c>
      <c r="K5" s="11" t="s">
        <v>17</v>
      </c>
      <c r="M5" s="11" t="s">
        <v>17</v>
      </c>
      <c r="O5" s="11"/>
      <c r="P5" s="11" t="s">
        <v>17</v>
      </c>
      <c r="R5" s="11" t="s">
        <v>17</v>
      </c>
      <c r="T5" s="11" t="s">
        <v>64</v>
      </c>
      <c r="U5" s="14"/>
      <c r="V5" s="14"/>
      <c r="W5" s="14" t="s">
        <v>17</v>
      </c>
      <c r="X5" s="14" t="s">
        <v>17</v>
      </c>
      <c r="Y5" s="14" t="s">
        <v>17</v>
      </c>
      <c r="AB5" s="11" t="s">
        <v>64</v>
      </c>
      <c r="AE5" s="11" t="s">
        <v>64</v>
      </c>
      <c r="AF5" s="11" t="s">
        <v>64</v>
      </c>
      <c r="AG5" s="18">
        <f t="shared" ref="AG5:AG6" si="2">COUNTA(C5:AF5)</f>
        <v>16</v>
      </c>
      <c r="AH5" s="18">
        <f t="shared" ref="AH5" si="3">COUNTBLANK(C5:AF5)</f>
        <v>14</v>
      </c>
      <c r="AJ5" t="s">
        <v>55</v>
      </c>
      <c r="AK5" s="19">
        <f>AVERAGE(Tabla_presentismo[ASIST])</f>
        <v>17.600000000000001</v>
      </c>
      <c r="AL5" s="19">
        <f>AVERAGE(Tabla_presentismo[AUS])</f>
        <v>12.4</v>
      </c>
    </row>
    <row r="6" spans="1:38" x14ac:dyDescent="0.25">
      <c r="B6" s="17" t="str">
        <f>_xlfn.CONCAT(Tabla_empleados[[#This Row],[APELLIDO]]&amp;"; "&amp;Tabla_empleados[[#This Row],[NOMBRE]])</f>
        <v>Messi; Lionel Andres</v>
      </c>
      <c r="C6" s="11" t="s">
        <v>17</v>
      </c>
      <c r="D6" s="11" t="s">
        <v>17</v>
      </c>
      <c r="E6" s="11" t="s">
        <v>17</v>
      </c>
      <c r="F6" s="11" t="s">
        <v>17</v>
      </c>
      <c r="G6" s="16"/>
      <c r="H6" s="11"/>
      <c r="J6" s="11" t="s">
        <v>17</v>
      </c>
      <c r="L6" s="11" t="s">
        <v>17</v>
      </c>
      <c r="M6" s="11" t="s">
        <v>17</v>
      </c>
      <c r="N6" s="11" t="s">
        <v>17</v>
      </c>
      <c r="O6" s="11"/>
      <c r="P6" s="11" t="s">
        <v>17</v>
      </c>
      <c r="S6" s="11" t="s">
        <v>64</v>
      </c>
      <c r="U6" s="11" t="s">
        <v>17</v>
      </c>
      <c r="V6" s="11"/>
      <c r="W6" s="11" t="s">
        <v>17</v>
      </c>
      <c r="X6" s="11" t="s">
        <v>17</v>
      </c>
      <c r="Y6" s="11" t="s">
        <v>17</v>
      </c>
      <c r="AA6" s="11" t="s">
        <v>64</v>
      </c>
      <c r="AB6" s="11" t="s">
        <v>64</v>
      </c>
      <c r="AD6" s="11" t="s">
        <v>64</v>
      </c>
      <c r="AE6" s="11" t="s">
        <v>64</v>
      </c>
      <c r="AG6" s="18">
        <f t="shared" si="2"/>
        <v>18</v>
      </c>
      <c r="AH6" s="18">
        <f>COUNTBLANK(C6:AF6)</f>
        <v>12</v>
      </c>
      <c r="AJ6" t="s">
        <v>56</v>
      </c>
      <c r="AK6">
        <f>MEDIAN(Tabla_presentismo[ASIST])</f>
        <v>18</v>
      </c>
      <c r="AL6">
        <f>MEDIAN(Tabla_presentismo[AUS])</f>
        <v>12</v>
      </c>
    </row>
    <row r="7" spans="1:38" x14ac:dyDescent="0.25">
      <c r="C7" s="14"/>
      <c r="AJ7" t="s">
        <v>57</v>
      </c>
      <c r="AK7">
        <f>MODE(Tabla_presentismo[ASIST])</f>
        <v>19</v>
      </c>
      <c r="AL7">
        <f>MODE(Tabla_presentismo[AUS])</f>
        <v>11</v>
      </c>
    </row>
    <row r="8" spans="1:38" x14ac:dyDescent="0.25">
      <c r="C8" s="14"/>
    </row>
    <row r="9" spans="1:38" x14ac:dyDescent="0.25">
      <c r="C9" s="14"/>
    </row>
    <row r="10" spans="1:38" x14ac:dyDescent="0.25">
      <c r="C10" s="14"/>
    </row>
    <row r="11" spans="1:38" x14ac:dyDescent="0.25">
      <c r="C11" s="14"/>
    </row>
    <row r="12" spans="1:38" x14ac:dyDescent="0.25">
      <c r="C12" s="14"/>
    </row>
    <row r="13" spans="1:38" x14ac:dyDescent="0.25">
      <c r="C13" s="14"/>
    </row>
    <row r="14" spans="1:38" x14ac:dyDescent="0.25">
      <c r="C14" s="14"/>
    </row>
    <row r="15" spans="1:38" x14ac:dyDescent="0.25">
      <c r="C15" s="14"/>
    </row>
    <row r="16" spans="1:3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</sheetData>
  <hyperlinks>
    <hyperlink ref="A1" location="menu!A1" display="atras" xr:uid="{F1EAB0D1-36B3-4DE7-8A69-43D9391AAC65}"/>
  </hyperlink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:G10"/>
  <sheetViews>
    <sheetView zoomScaleNormal="100" workbookViewId="0">
      <pane ySplit="1" topLeftCell="A2" activePane="bottomLeft" state="frozen"/>
      <selection pane="bottomLeft" activeCell="L7" sqref="L7"/>
    </sheetView>
  </sheetViews>
  <sheetFormatPr baseColWidth="10" defaultRowHeight="15" x14ac:dyDescent="0.25"/>
  <cols>
    <col min="2" max="2" width="9.140625" bestFit="1" customWidth="1"/>
    <col min="3" max="3" width="18.42578125" bestFit="1" customWidth="1"/>
    <col min="4" max="4" width="16.5703125" bestFit="1" customWidth="1"/>
    <col min="5" max="5" width="12.85546875" bestFit="1" customWidth="1"/>
    <col min="6" max="6" width="13" bestFit="1" customWidth="1"/>
    <col min="7" max="7" width="8" bestFit="1" customWidth="1"/>
  </cols>
  <sheetData>
    <row r="1" spans="1:7" x14ac:dyDescent="0.25">
      <c r="A1" s="30" t="s">
        <v>110</v>
      </c>
      <c r="B1" t="s">
        <v>0</v>
      </c>
      <c r="C1" t="s">
        <v>118</v>
      </c>
      <c r="D1" t="s">
        <v>120</v>
      </c>
      <c r="E1" t="s">
        <v>129</v>
      </c>
      <c r="F1" s="3" t="s">
        <v>8</v>
      </c>
      <c r="G1" t="s">
        <v>119</v>
      </c>
    </row>
    <row r="2" spans="1:7" x14ac:dyDescent="0.25">
      <c r="B2">
        <v>1</v>
      </c>
      <c r="C2" t="s">
        <v>122</v>
      </c>
      <c r="D2" t="s">
        <v>123</v>
      </c>
      <c r="E2" t="s">
        <v>130</v>
      </c>
      <c r="F2" s="3">
        <v>5400</v>
      </c>
      <c r="G2">
        <v>6500</v>
      </c>
    </row>
    <row r="3" spans="1:7" x14ac:dyDescent="0.25">
      <c r="B3">
        <v>2</v>
      </c>
      <c r="C3" t="s">
        <v>124</v>
      </c>
      <c r="D3" t="s">
        <v>125</v>
      </c>
      <c r="E3" t="s">
        <v>131</v>
      </c>
      <c r="F3" s="3">
        <v>3800</v>
      </c>
      <c r="G3">
        <v>5000</v>
      </c>
    </row>
    <row r="4" spans="1:7" x14ac:dyDescent="0.25">
      <c r="B4">
        <v>3</v>
      </c>
      <c r="C4" t="s">
        <v>126</v>
      </c>
      <c r="D4" t="s">
        <v>127</v>
      </c>
      <c r="E4" t="s">
        <v>133</v>
      </c>
      <c r="F4" s="3">
        <v>600</v>
      </c>
      <c r="G4">
        <v>8500</v>
      </c>
    </row>
    <row r="5" spans="1:7" x14ac:dyDescent="0.25">
      <c r="B5">
        <v>4</v>
      </c>
      <c r="C5" t="s">
        <v>128</v>
      </c>
      <c r="D5" t="s">
        <v>127</v>
      </c>
      <c r="E5" t="s">
        <v>134</v>
      </c>
      <c r="F5" s="3">
        <v>8800</v>
      </c>
      <c r="G5">
        <v>6280</v>
      </c>
    </row>
    <row r="6" spans="1:7" x14ac:dyDescent="0.25">
      <c r="B6">
        <v>5</v>
      </c>
      <c r="C6" t="s">
        <v>121</v>
      </c>
      <c r="D6" t="s">
        <v>125</v>
      </c>
      <c r="E6" t="s">
        <v>132</v>
      </c>
      <c r="F6" s="3">
        <v>15000</v>
      </c>
      <c r="G6">
        <v>2950</v>
      </c>
    </row>
    <row r="7" spans="1:7" x14ac:dyDescent="0.25">
      <c r="B7">
        <v>6</v>
      </c>
      <c r="C7" t="s">
        <v>135</v>
      </c>
      <c r="D7" t="s">
        <v>136</v>
      </c>
      <c r="E7" t="s">
        <v>130</v>
      </c>
      <c r="F7" s="3">
        <v>600</v>
      </c>
      <c r="G7">
        <v>9920</v>
      </c>
    </row>
    <row r="8" spans="1:7" x14ac:dyDescent="0.25">
      <c r="B8">
        <v>7</v>
      </c>
      <c r="C8" t="s">
        <v>137</v>
      </c>
      <c r="D8" t="s">
        <v>125</v>
      </c>
      <c r="E8" t="s">
        <v>131</v>
      </c>
      <c r="F8" s="3">
        <v>45999.99</v>
      </c>
      <c r="G8">
        <v>6420</v>
      </c>
    </row>
    <row r="9" spans="1:7" x14ac:dyDescent="0.25">
      <c r="B9">
        <v>8</v>
      </c>
      <c r="C9" t="s">
        <v>138</v>
      </c>
      <c r="D9" t="s">
        <v>125</v>
      </c>
      <c r="E9" t="s">
        <v>139</v>
      </c>
      <c r="F9" s="3">
        <v>32500</v>
      </c>
      <c r="G9">
        <v>7500</v>
      </c>
    </row>
    <row r="10" spans="1:7" x14ac:dyDescent="0.25">
      <c r="B10">
        <v>9</v>
      </c>
      <c r="C10" t="s">
        <v>140</v>
      </c>
      <c r="D10" t="s">
        <v>141</v>
      </c>
      <c r="E10" t="s">
        <v>142</v>
      </c>
      <c r="F10" s="3">
        <v>120000</v>
      </c>
      <c r="G10">
        <v>10500</v>
      </c>
    </row>
  </sheetData>
  <hyperlinks>
    <hyperlink ref="A1" location="menu!A1" display="atras" xr:uid="{0E087567-2D17-47B0-B948-A60227DE6316}"/>
  </hyperlink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L28"/>
  <sheetViews>
    <sheetView topLeftCell="D1" zoomScaleNormal="100" workbookViewId="0">
      <pane ySplit="1" topLeftCell="A2" activePane="bottomLeft" state="frozen"/>
      <selection pane="bottomLeft" activeCell="L17" sqref="L17"/>
    </sheetView>
  </sheetViews>
  <sheetFormatPr baseColWidth="10" defaultRowHeight="15" x14ac:dyDescent="0.25"/>
  <cols>
    <col min="2" max="2" width="9.140625" bestFit="1" customWidth="1"/>
    <col min="3" max="3" width="11.85546875" bestFit="1" customWidth="1"/>
    <col min="4" max="4" width="11.28515625" bestFit="1" customWidth="1"/>
    <col min="5" max="5" width="7" bestFit="1" customWidth="1"/>
    <col min="6" max="8" width="12.7109375" style="3" bestFit="1" customWidth="1"/>
    <col min="9" max="9" width="13.7109375" style="3" bestFit="1" customWidth="1"/>
    <col min="10" max="10" width="2.85546875" customWidth="1"/>
    <col min="11" max="11" width="13.7109375" bestFit="1" customWidth="1"/>
    <col min="12" max="12" width="22.28515625" bestFit="1" customWidth="1"/>
    <col min="14" max="14" width="13.7109375" bestFit="1" customWidth="1"/>
  </cols>
  <sheetData>
    <row r="1" spans="1:12" x14ac:dyDescent="0.25">
      <c r="A1" s="30" t="s">
        <v>110</v>
      </c>
      <c r="B1" t="s">
        <v>0</v>
      </c>
      <c r="C1" t="s">
        <v>10</v>
      </c>
      <c r="D1" t="s">
        <v>7</v>
      </c>
      <c r="E1" t="s">
        <v>13</v>
      </c>
      <c r="F1" s="3" t="s">
        <v>8</v>
      </c>
      <c r="G1" s="3" t="s">
        <v>9</v>
      </c>
      <c r="H1" s="3" t="s">
        <v>11</v>
      </c>
      <c r="I1" s="3" t="s">
        <v>12</v>
      </c>
      <c r="K1" t="s">
        <v>11</v>
      </c>
    </row>
    <row r="2" spans="1:12" hidden="1" x14ac:dyDescent="0.25">
      <c r="B2">
        <v>1</v>
      </c>
      <c r="C2">
        <v>1</v>
      </c>
      <c r="D2">
        <v>5</v>
      </c>
      <c r="E2">
        <v>2</v>
      </c>
      <c r="F2" s="3">
        <v>15000</v>
      </c>
      <c r="G2" s="3">
        <f>cant*precio</f>
        <v>30000</v>
      </c>
      <c r="H2" s="3">
        <f>Tabla_ventas[[#This Row],[total]]*iva</f>
        <v>6300</v>
      </c>
      <c r="I2" s="3">
        <f>Tabla_ventas[[#This Row],[total]] +Tabla_ventas[[#This Row],[iva]]</f>
        <v>36300</v>
      </c>
      <c r="K2" s="2">
        <v>0.21</v>
      </c>
    </row>
    <row r="3" spans="1:12" hidden="1" x14ac:dyDescent="0.25">
      <c r="B3">
        <v>2</v>
      </c>
      <c r="C3">
        <v>1</v>
      </c>
      <c r="D3">
        <v>1</v>
      </c>
      <c r="E3">
        <v>4</v>
      </c>
      <c r="F3" s="3">
        <v>5400</v>
      </c>
      <c r="G3" s="3">
        <f>cant*precio</f>
        <v>21600</v>
      </c>
      <c r="H3" s="3">
        <f>Tabla_ventas[[#This Row],[total]]*iva</f>
        <v>4536</v>
      </c>
      <c r="I3" s="3">
        <f>Tabla_ventas[[#This Row],[total]] +Tabla_ventas[[#This Row],[iva]]</f>
        <v>26136</v>
      </c>
      <c r="K3" t="s">
        <v>9</v>
      </c>
    </row>
    <row r="4" spans="1:12" hidden="1" x14ac:dyDescent="0.25">
      <c r="B4">
        <v>3</v>
      </c>
      <c r="C4">
        <v>2</v>
      </c>
      <c r="D4">
        <v>2</v>
      </c>
      <c r="E4">
        <v>3</v>
      </c>
      <c r="F4" s="3">
        <v>3800</v>
      </c>
      <c r="G4" s="3">
        <f>cant*precio</f>
        <v>11400</v>
      </c>
      <c r="H4" s="3">
        <f>Tabla_ventas[[#This Row],[total]]*iva</f>
        <v>2394</v>
      </c>
      <c r="I4" s="3">
        <f>Tabla_ventas[[#This Row],[total]] +Tabla_ventas[[#This Row],[iva]]</f>
        <v>13794</v>
      </c>
      <c r="K4" s="35">
        <f>COUNT(total)</f>
        <v>11</v>
      </c>
      <c r="L4" t="s">
        <v>114</v>
      </c>
    </row>
    <row r="5" spans="1:12" hidden="1" x14ac:dyDescent="0.25">
      <c r="B5">
        <v>4</v>
      </c>
      <c r="C5">
        <v>2</v>
      </c>
      <c r="D5">
        <v>3</v>
      </c>
      <c r="E5">
        <v>1</v>
      </c>
      <c r="F5" s="3">
        <v>600</v>
      </c>
      <c r="G5" s="3">
        <f>cant*precio</f>
        <v>600</v>
      </c>
      <c r="H5" s="3">
        <f>Tabla_ventas[[#This Row],[total]]*iva</f>
        <v>126</v>
      </c>
      <c r="I5" s="3">
        <f>Tabla_ventas[[#This Row],[total]] +Tabla_ventas[[#This Row],[iva]]</f>
        <v>726</v>
      </c>
      <c r="K5" s="34">
        <f>SUM(total)</f>
        <v>340600</v>
      </c>
      <c r="L5" t="s">
        <v>115</v>
      </c>
    </row>
    <row r="6" spans="1:12" hidden="1" x14ac:dyDescent="0.25">
      <c r="B6">
        <v>5</v>
      </c>
      <c r="C6">
        <v>1</v>
      </c>
      <c r="D6">
        <v>4</v>
      </c>
      <c r="E6">
        <v>6</v>
      </c>
      <c r="F6" s="3">
        <v>8800</v>
      </c>
      <c r="G6" s="3">
        <f>cant*precio</f>
        <v>52800</v>
      </c>
      <c r="H6" s="3">
        <f>Tabla_ventas[[#This Row],[total]]*iva</f>
        <v>11088</v>
      </c>
      <c r="I6" s="3">
        <f>Tabla_ventas[[#This Row],[total]] +Tabla_ventas[[#This Row],[iva]]</f>
        <v>63888</v>
      </c>
      <c r="K6" s="34">
        <f>AVERAGE(total)</f>
        <v>30963.636363636364</v>
      </c>
      <c r="L6" t="s">
        <v>117</v>
      </c>
    </row>
    <row r="7" spans="1:12" x14ac:dyDescent="0.25">
      <c r="B7">
        <v>6</v>
      </c>
      <c r="C7">
        <v>2</v>
      </c>
      <c r="D7">
        <v>4</v>
      </c>
      <c r="E7">
        <v>10</v>
      </c>
      <c r="F7" s="3">
        <v>8800</v>
      </c>
      <c r="G7" s="3">
        <f>cant*precio</f>
        <v>88000</v>
      </c>
      <c r="H7" s="3">
        <f>Tabla_ventas[[#This Row],[total]]*iva</f>
        <v>18480</v>
      </c>
      <c r="I7" s="3">
        <f>Tabla_ventas[[#This Row],[total]] +Tabla_ventas[[#This Row],[iva]]</f>
        <v>106480</v>
      </c>
      <c r="K7" s="34">
        <f>MEDIAN(total)</f>
        <v>18000</v>
      </c>
      <c r="L7" t="s">
        <v>116</v>
      </c>
    </row>
    <row r="8" spans="1:12" hidden="1" x14ac:dyDescent="0.25">
      <c r="B8">
        <v>7</v>
      </c>
      <c r="C8">
        <v>1</v>
      </c>
      <c r="D8">
        <v>3</v>
      </c>
      <c r="E8">
        <v>30</v>
      </c>
      <c r="F8" s="3">
        <v>600</v>
      </c>
      <c r="G8" s="3">
        <f>cant*precio</f>
        <v>18000</v>
      </c>
      <c r="H8" s="3">
        <f>Tabla_ventas[[#This Row],[total]]*iva</f>
        <v>3780</v>
      </c>
      <c r="I8" s="3">
        <f>Tabla_ventas[[#This Row],[total]] +Tabla_ventas[[#This Row],[iva]]</f>
        <v>21780</v>
      </c>
      <c r="K8" s="35">
        <f>MODE(C:C)</f>
        <v>1</v>
      </c>
      <c r="L8" t="s">
        <v>112</v>
      </c>
    </row>
    <row r="9" spans="1:12" hidden="1" x14ac:dyDescent="0.25">
      <c r="B9">
        <v>8</v>
      </c>
      <c r="C9">
        <v>2</v>
      </c>
      <c r="D9">
        <v>2</v>
      </c>
      <c r="E9">
        <v>2</v>
      </c>
      <c r="F9" s="3">
        <v>3800</v>
      </c>
      <c r="G9" s="3">
        <f>cant*precio</f>
        <v>7600</v>
      </c>
      <c r="H9" s="3">
        <f>Tabla_ventas[[#This Row],[total]]*iva</f>
        <v>1596</v>
      </c>
      <c r="I9" s="3">
        <f>Tabla_ventas[[#This Row],[total]] +Tabla_ventas[[#This Row],[iva]]</f>
        <v>9196</v>
      </c>
      <c r="K9" s="35">
        <f>MODE(D:D)</f>
        <v>2</v>
      </c>
      <c r="L9" t="s">
        <v>113</v>
      </c>
    </row>
    <row r="10" spans="1:12" hidden="1" x14ac:dyDescent="0.25">
      <c r="B10">
        <v>9</v>
      </c>
      <c r="C10">
        <v>1</v>
      </c>
      <c r="D10">
        <v>5</v>
      </c>
      <c r="E10">
        <v>1</v>
      </c>
      <c r="F10" s="3">
        <v>15000</v>
      </c>
      <c r="G10" s="3">
        <f>cant*precio</f>
        <v>15000</v>
      </c>
      <c r="H10" s="3">
        <f>Tabla_ventas[[#This Row],[total]]*iva</f>
        <v>3150</v>
      </c>
      <c r="I10" s="3">
        <f>Tabla_ventas[[#This Row],[total]] +Tabla_ventas[[#This Row],[iva]]</f>
        <v>18150</v>
      </c>
    </row>
    <row r="11" spans="1:12" hidden="1" x14ac:dyDescent="0.25">
      <c r="B11">
        <v>10</v>
      </c>
      <c r="C11">
        <v>1</v>
      </c>
      <c r="D11">
        <v>2</v>
      </c>
      <c r="E11">
        <v>2</v>
      </c>
      <c r="F11" s="3">
        <v>3800</v>
      </c>
      <c r="G11" s="3">
        <f>cant*precio</f>
        <v>7600</v>
      </c>
      <c r="H11" s="3">
        <f>Tabla_ventas[[#This Row],[total]]*iva</f>
        <v>1596</v>
      </c>
      <c r="I11" s="3">
        <f>Tabla_ventas[[#This Row],[total]] +Tabla_ventas[[#This Row],[iva]]</f>
        <v>9196</v>
      </c>
    </row>
    <row r="12" spans="1:12" x14ac:dyDescent="0.25">
      <c r="B12" t="s">
        <v>143</v>
      </c>
      <c r="F12" s="39">
        <f>SUBTOTAL(102,Tabla_ventas[precio])</f>
        <v>1</v>
      </c>
      <c r="G12" s="40">
        <f>SUBTOTAL(109,Tabla_ventas[total])</f>
        <v>88000</v>
      </c>
      <c r="H12" s="40">
        <f>SUBTOTAL(109,Tabla_ventas[iva])</f>
        <v>18480</v>
      </c>
      <c r="I12" s="38">
        <f>SUBTOTAL(109,Tabla_ventas[final])</f>
        <v>106480</v>
      </c>
      <c r="K12" s="37"/>
    </row>
    <row r="13" spans="1:12" x14ac:dyDescent="0.25">
      <c r="K13" s="37"/>
    </row>
    <row r="14" spans="1:12" x14ac:dyDescent="0.25">
      <c r="K14" s="37"/>
    </row>
    <row r="15" spans="1:12" x14ac:dyDescent="0.25">
      <c r="K15" s="36"/>
    </row>
    <row r="16" spans="1:12" x14ac:dyDescent="0.25">
      <c r="K16" s="36"/>
    </row>
    <row r="17" spans="11:11" x14ac:dyDescent="0.25">
      <c r="K17" s="36"/>
    </row>
    <row r="18" spans="11:11" x14ac:dyDescent="0.25">
      <c r="K18" s="36"/>
    </row>
    <row r="19" spans="11:11" x14ac:dyDescent="0.25">
      <c r="K19" s="36"/>
    </row>
    <row r="20" spans="11:11" x14ac:dyDescent="0.25">
      <c r="K20" s="36"/>
    </row>
    <row r="21" spans="11:11" x14ac:dyDescent="0.25">
      <c r="K21" s="36"/>
    </row>
    <row r="22" spans="11:11" x14ac:dyDescent="0.25">
      <c r="K22" s="36"/>
    </row>
    <row r="23" spans="11:11" x14ac:dyDescent="0.25">
      <c r="K23" s="36"/>
    </row>
    <row r="24" spans="11:11" x14ac:dyDescent="0.25">
      <c r="K24" s="36"/>
    </row>
    <row r="25" spans="11:11" x14ac:dyDescent="0.25">
      <c r="K25" s="36"/>
    </row>
    <row r="26" spans="11:11" x14ac:dyDescent="0.25">
      <c r="K26" s="36"/>
    </row>
    <row r="27" spans="11:11" x14ac:dyDescent="0.25">
      <c r="K27" s="37"/>
    </row>
    <row r="28" spans="11:11" x14ac:dyDescent="0.25">
      <c r="K28" s="37"/>
    </row>
  </sheetData>
  <hyperlinks>
    <hyperlink ref="A1" location="menu!A1" display="atras" xr:uid="{B77ACD90-79DC-4E97-98F2-9228CD1EFDBA}"/>
  </hyperlink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E50-C0D3-438C-882B-3AEDD4D30357}">
  <dimension ref="A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1" x14ac:dyDescent="0.25">
      <c r="A1" s="30" t="s">
        <v>110</v>
      </c>
    </row>
  </sheetData>
  <hyperlinks>
    <hyperlink ref="A1" location="menu!A1" display="atras" xr:uid="{BAEE1280-7C20-467F-A1E1-9F69C0E2B29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menu</vt:lpstr>
      <vt:lpstr>empleados</vt:lpstr>
      <vt:lpstr>datos</vt:lpstr>
      <vt:lpstr>presentismo</vt:lpstr>
      <vt:lpstr>productos</vt:lpstr>
      <vt:lpstr>ventas</vt:lpstr>
      <vt:lpstr>estadisticas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2022-12-16T16:01:35Z</dcterms:modified>
</cp:coreProperties>
</file>