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v-19\"/>
    </mc:Choice>
  </mc:AlternateContent>
  <xr:revisionPtr revIDLastSave="0" documentId="13_ncr:1_{5200579D-8FAB-4208-98B4-027530A69B85}" xr6:coauthVersionLast="47" xr6:coauthVersionMax="47" xr10:uidLastSave="{00000000-0000-0000-0000-000000000000}"/>
  <bookViews>
    <workbookView xWindow="-120" yWindow="-120" windowWidth="20730" windowHeight="11160" activeTab="5" xr2:uid="{56B30104-99EE-4DD6-9022-7C4FE03B5E61}"/>
  </bookViews>
  <sheets>
    <sheet name="Formatos" sheetId="1" r:id="rId1"/>
    <sheet name="Empleados" sheetId="6" r:id="rId2"/>
    <sheet name="Productos" sheetId="7" r:id="rId3"/>
    <sheet name="Ventas" sheetId="8" r:id="rId4"/>
    <sheet name="Presentismo" sheetId="9" r:id="rId5"/>
    <sheet name="Hoja4" sheetId="10" r:id="rId6"/>
  </sheets>
  <definedNames>
    <definedName name="asist">Presentismo!$AF$3:$AF$7</definedName>
    <definedName name="aus">Presentismo!$AG$3:$AG$7</definedName>
    <definedName name="cant_producto">Productos!$D:$D</definedName>
    <definedName name="cant_ventas">Ventas!$G:$G</definedName>
    <definedName name="cod_producto">Productos!$A:$A</definedName>
    <definedName name="detalle_producto">Productos!$B:$B</definedName>
    <definedName name="iva_21">Productos!$H$2</definedName>
    <definedName name="iva_producto">Productos!$F:$F</definedName>
    <definedName name="precio_1">Ventas!$B$2</definedName>
    <definedName name="precio_2">Ventas!$B$3</definedName>
    <definedName name="precio_3">Ventas!$B$4</definedName>
    <definedName name="precio_4">Ventas!$B$5</definedName>
    <definedName name="precio_5">Ventas!$B$6</definedName>
    <definedName name="precio_6">Ventas!$B$7</definedName>
    <definedName name="precio_7">Ventas!$B$8</definedName>
    <definedName name="precio_8">Ventas!$B$9</definedName>
    <definedName name="precio_9">Ventas!$B$10</definedName>
    <definedName name="precio_producto">Productos!$C:$C</definedName>
    <definedName name="total_producto">Productos!$E:$E</definedName>
    <definedName name="total_ventas">Ventas!$I:$I</definedName>
    <definedName name="vendedor">Ventas!$H:$H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0" l="1"/>
  <c r="M3" i="10"/>
  <c r="M4" i="10"/>
  <c r="M5" i="10"/>
  <c r="L2" i="10"/>
  <c r="K2" i="10" s="1"/>
  <c r="L3" i="10"/>
  <c r="K3" i="10" s="1"/>
  <c r="L4" i="10"/>
  <c r="K4" i="10" s="1"/>
  <c r="L5" i="10"/>
  <c r="K5" i="10" s="1"/>
  <c r="G3" i="10"/>
  <c r="G4" i="10"/>
  <c r="G5" i="10"/>
  <c r="G2" i="10"/>
  <c r="H4" i="10"/>
  <c r="H5" i="10"/>
  <c r="H3" i="10"/>
  <c r="H2" i="10"/>
  <c r="F4" i="10"/>
  <c r="F5" i="10"/>
  <c r="F3" i="10"/>
  <c r="F2" i="10"/>
  <c r="A16" i="9"/>
  <c r="A14" i="9"/>
  <c r="A12" i="9"/>
  <c r="A10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H2" i="6"/>
  <c r="H3" i="6"/>
  <c r="H4" i="6"/>
  <c r="H5" i="6"/>
  <c r="H6" i="6"/>
  <c r="AJ2" i="9"/>
  <c r="AJ6" i="9" s="1"/>
  <c r="AI2" i="9"/>
  <c r="AJ3" i="9" s="1"/>
  <c r="B8" i="9"/>
  <c r="AG4" i="9"/>
  <c r="AG5" i="9"/>
  <c r="AG6" i="9"/>
  <c r="AG7" i="9"/>
  <c r="AG3" i="9"/>
  <c r="AG8" i="9" s="1"/>
  <c r="AF4" i="9"/>
  <c r="AF5" i="9"/>
  <c r="AF6" i="9"/>
  <c r="AF8" i="9" s="1"/>
  <c r="AF7" i="9"/>
  <c r="AF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B2" i="9"/>
  <c r="A4" i="9"/>
  <c r="A5" i="9"/>
  <c r="A6" i="9"/>
  <c r="A7" i="9"/>
  <c r="A3" i="9"/>
  <c r="M6" i="8"/>
  <c r="L6" i="8"/>
  <c r="M12" i="8"/>
  <c r="M10" i="8"/>
  <c r="M8" i="8"/>
  <c r="M4" i="8"/>
  <c r="L12" i="8"/>
  <c r="B3" i="8"/>
  <c r="I11" i="8"/>
  <c r="I6" i="8"/>
  <c r="I5" i="8"/>
  <c r="C2" i="8"/>
  <c r="C3" i="8"/>
  <c r="C4" i="8"/>
  <c r="C5" i="8"/>
  <c r="C6" i="8"/>
  <c r="C7" i="8"/>
  <c r="C8" i="8"/>
  <c r="C9" i="8"/>
  <c r="C10" i="8"/>
  <c r="C1" i="8"/>
  <c r="B14" i="8"/>
  <c r="B15" i="8"/>
  <c r="B16" i="8"/>
  <c r="B17" i="8"/>
  <c r="B13" i="8"/>
  <c r="A13" i="8"/>
  <c r="A14" i="8"/>
  <c r="A15" i="8"/>
  <c r="A16" i="8"/>
  <c r="A17" i="8"/>
  <c r="A12" i="8"/>
  <c r="F2" i="7"/>
  <c r="F3" i="7"/>
  <c r="F4" i="7"/>
  <c r="F5" i="7"/>
  <c r="F6" i="7"/>
  <c r="F7" i="7"/>
  <c r="F8" i="7"/>
  <c r="F9" i="7"/>
  <c r="B9" i="8" s="1"/>
  <c r="I13" i="8" s="1"/>
  <c r="F10" i="7"/>
  <c r="B10" i="8" s="1"/>
  <c r="I16" i="8" s="1"/>
  <c r="B2" i="8"/>
  <c r="I12" i="8" s="1"/>
  <c r="B6" i="8"/>
  <c r="I4" i="8" s="1"/>
  <c r="B7" i="8"/>
  <c r="I15" i="8" s="1"/>
  <c r="B4" i="8"/>
  <c r="I8" i="8" s="1"/>
  <c r="B5" i="8"/>
  <c r="I9" i="8" s="1"/>
  <c r="B8" i="8"/>
  <c r="A2" i="8"/>
  <c r="A3" i="8"/>
  <c r="A4" i="8"/>
  <c r="A5" i="8"/>
  <c r="A6" i="8"/>
  <c r="A7" i="8"/>
  <c r="A8" i="8"/>
  <c r="A9" i="8"/>
  <c r="A10" i="8"/>
  <c r="B1" i="8"/>
  <c r="A1" i="8"/>
  <c r="E3" i="7"/>
  <c r="E4" i="7"/>
  <c r="E5" i="7"/>
  <c r="E6" i="7"/>
  <c r="E7" i="7"/>
  <c r="E8" i="7"/>
  <c r="E9" i="7"/>
  <c r="E10" i="7"/>
  <c r="E2" i="7"/>
  <c r="R20" i="6"/>
  <c r="N20" i="6"/>
  <c r="R16" i="6"/>
  <c r="N16" i="6"/>
  <c r="R12" i="6"/>
  <c r="N12" i="6"/>
  <c r="I3" i="10" l="1"/>
  <c r="I2" i="10"/>
  <c r="N5" i="10"/>
  <c r="N4" i="10"/>
  <c r="I4" i="10"/>
  <c r="I5" i="10"/>
  <c r="N3" i="10"/>
  <c r="N2" i="10"/>
  <c r="J2" i="10" s="1"/>
  <c r="AJ8" i="9"/>
  <c r="AJ7" i="9"/>
  <c r="AJ5" i="9"/>
  <c r="AJ4" i="9"/>
  <c r="I7" i="8"/>
  <c r="I10" i="8"/>
  <c r="I2" i="8"/>
  <c r="L4" i="8"/>
  <c r="I3" i="8"/>
  <c r="I14" i="8"/>
  <c r="L10" i="8" s="1"/>
  <c r="M2" i="8"/>
  <c r="L2" i="8"/>
  <c r="L8" i="8" l="1"/>
</calcChain>
</file>

<file path=xl/sharedStrings.xml><?xml version="1.0" encoding="utf-8"?>
<sst xmlns="http://schemas.openxmlformats.org/spreadsheetml/2006/main" count="274" uniqueCount="151">
  <si>
    <t>Formato</t>
  </si>
  <si>
    <t>valor</t>
  </si>
  <si>
    <t>Numero</t>
  </si>
  <si>
    <t>Texto</t>
  </si>
  <si>
    <t>c215714n</t>
  </si>
  <si>
    <t>Fecha</t>
  </si>
  <si>
    <t>Hora</t>
  </si>
  <si>
    <t>Porcentaje</t>
  </si>
  <si>
    <t>Moneda</t>
  </si>
  <si>
    <t>Contabilidad</t>
  </si>
  <si>
    <t>Tipo</t>
  </si>
  <si>
    <t>Columnas</t>
  </si>
  <si>
    <t>Filas</t>
  </si>
  <si>
    <t>Celdas</t>
  </si>
  <si>
    <t>Rango Gral</t>
  </si>
  <si>
    <t>C:C</t>
  </si>
  <si>
    <t>C1:C10</t>
  </si>
  <si>
    <t>1:1</t>
  </si>
  <si>
    <t>A1:H1</t>
  </si>
  <si>
    <t>C4</t>
  </si>
  <si>
    <t>A1:B12</t>
  </si>
  <si>
    <t>Rango Fijo</t>
  </si>
  <si>
    <t>Rango Exacto</t>
  </si>
  <si>
    <t>$C1:$C10</t>
  </si>
  <si>
    <t>A$1:H$1</t>
  </si>
  <si>
    <t>$A$1:$B$12</t>
  </si>
  <si>
    <t>Series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</si>
  <si>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</si>
  <si>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</si>
  <si>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</si>
  <si>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</si>
  <si>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</si>
  <si>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</si>
  <si>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</si>
  <si>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</si>
  <si>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</si>
  <si>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</si>
  <si>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</si>
  <si>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</si>
  <si>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</si>
  <si>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</si>
  <si>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</si>
  <si>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</si>
  <si>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</si>
  <si>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</si>
  <si>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</si>
  <si>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Apellido</t>
  </si>
  <si>
    <t>Nombre</t>
  </si>
  <si>
    <t>Fecha Nac.</t>
  </si>
  <si>
    <t>Direccion</t>
  </si>
  <si>
    <t>Localidad</t>
  </si>
  <si>
    <t>Cristian</t>
  </si>
  <si>
    <t>Racedo</t>
  </si>
  <si>
    <t>DNI</t>
  </si>
  <si>
    <t>sucasa</t>
  </si>
  <si>
    <t>Glew</t>
  </si>
  <si>
    <t>Sigmund</t>
  </si>
  <si>
    <t>Freud</t>
  </si>
  <si>
    <t>Corleone</t>
  </si>
  <si>
    <t>Vitto</t>
  </si>
  <si>
    <t>Nac</t>
  </si>
  <si>
    <t>Argentina</t>
  </si>
  <si>
    <t>Alemana</t>
  </si>
  <si>
    <t>Italiana</t>
  </si>
  <si>
    <t>FORMULAS</t>
  </si>
  <si>
    <t>FUNCIONES</t>
  </si>
  <si>
    <t>Operaciones que se utilizan obtener un resultado, normalmente engloba las operaciones matematicas basicas y solo pueden operar con valores validos.</t>
  </si>
  <si>
    <t>Operaciones con nombres clave que nos permite realizar excel para obtener un resultado, si existen valores no validos, estas los ignoran</t>
  </si>
  <si>
    <t>SUMA</t>
  </si>
  <si>
    <t>Valor1</t>
  </si>
  <si>
    <t>valor2</t>
  </si>
  <si>
    <t>operación</t>
  </si>
  <si>
    <t>SUMA()</t>
  </si>
  <si>
    <t>A</t>
  </si>
  <si>
    <t>PRODUCTO</t>
  </si>
  <si>
    <t>PRODUCTO()</t>
  </si>
  <si>
    <t>POTENCIA()</t>
  </si>
  <si>
    <t>POTENCIA</t>
  </si>
  <si>
    <t xml:space="preserve">Juan </t>
  </si>
  <si>
    <t>Perez</t>
  </si>
  <si>
    <t>Codigo</t>
  </si>
  <si>
    <t>Paola</t>
  </si>
  <si>
    <t>Alvarez</t>
  </si>
  <si>
    <t>codigo</t>
  </si>
  <si>
    <t>detalle</t>
  </si>
  <si>
    <t>precio/u</t>
  </si>
  <si>
    <t>cantidad</t>
  </si>
  <si>
    <t>total</t>
  </si>
  <si>
    <t>microondas</t>
  </si>
  <si>
    <t>lavarropas</t>
  </si>
  <si>
    <t>secarropas</t>
  </si>
  <si>
    <t>aire acondicionado</t>
  </si>
  <si>
    <t>secador de pelo</t>
  </si>
  <si>
    <t>horno electrico</t>
  </si>
  <si>
    <t>notebook</t>
  </si>
  <si>
    <t>monitor</t>
  </si>
  <si>
    <t>placard</t>
  </si>
  <si>
    <t>precio+iva</t>
  </si>
  <si>
    <t>iva</t>
  </si>
  <si>
    <t>Nombre y apellido</t>
  </si>
  <si>
    <t>vendedor</t>
  </si>
  <si>
    <t>tipo_pago</t>
  </si>
  <si>
    <t>credito</t>
  </si>
  <si>
    <t>debito</t>
  </si>
  <si>
    <t>efectivo</t>
  </si>
  <si>
    <t>prod</t>
  </si>
  <si>
    <t>cant</t>
  </si>
  <si>
    <t>Total Ventas</t>
  </si>
  <si>
    <t>asiento</t>
  </si>
  <si>
    <t>Media Ventas</t>
  </si>
  <si>
    <t>Mejor Venta</t>
  </si>
  <si>
    <t>Menor Valor</t>
  </si>
  <si>
    <t>Vendedor del Mes</t>
  </si>
  <si>
    <t>Promedio</t>
  </si>
  <si>
    <t>Cant max.</t>
  </si>
  <si>
    <t>Cant min.</t>
  </si>
  <si>
    <t>Repeticion</t>
  </si>
  <si>
    <t>Mediana Ventas</t>
  </si>
  <si>
    <t>mediana</t>
  </si>
  <si>
    <t>Empleados</t>
  </si>
  <si>
    <t>p</t>
  </si>
  <si>
    <t>Asistencias</t>
  </si>
  <si>
    <t>Inasistencias</t>
  </si>
  <si>
    <t>AÑO</t>
  </si>
  <si>
    <t>MES</t>
  </si>
  <si>
    <t>DIA</t>
  </si>
  <si>
    <t>HORA</t>
  </si>
  <si>
    <t>Minutos</t>
  </si>
  <si>
    <t>Segundos</t>
  </si>
  <si>
    <t>Edad</t>
  </si>
  <si>
    <t>asist. Max</t>
  </si>
  <si>
    <t>asist. Min</t>
  </si>
  <si>
    <t>Mediana</t>
  </si>
  <si>
    <t>apellido y nombre</t>
  </si>
  <si>
    <t>cuit</t>
  </si>
  <si>
    <t>fecha nac</t>
  </si>
  <si>
    <t>edad</t>
  </si>
  <si>
    <t>Vargas Luis</t>
  </si>
  <si>
    <t>Ramirez Cintia</t>
  </si>
  <si>
    <t>Diaz Claudia</t>
  </si>
  <si>
    <t>20-43242343-2</t>
  </si>
  <si>
    <t>30-23421233-1</t>
  </si>
  <si>
    <t>25-26432891-6</t>
  </si>
  <si>
    <t>27-35189382-5</t>
  </si>
  <si>
    <t>Documento</t>
  </si>
  <si>
    <t>Ini</t>
  </si>
  <si>
    <t>Fin</t>
  </si>
  <si>
    <t>separador</t>
  </si>
  <si>
    <t>largo</t>
  </si>
  <si>
    <t>Rojas Armando Jorge Luis</t>
  </si>
  <si>
    <t>bksp_2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</si>
</sst>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400]h:mm:ss\ AM/PM"/>
    <numFmt numFmtId="165" formatCode="&quot;$&quot;\ #,##0.00"/>
    <numFmt numFmtId="166" formatCode="_-* #,##0_-;\-* #,##0_-;_-* &quot;-&quot;??_-;_-@_-"/>
    <numFmt numFmtId="169" formatCode="[$-F400]h:mm:ss\ AM/PM"/>
    <numFmt numFmtId="170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A36F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0" fontId="1" fillId="4" borderId="1" xfId="3" applyBorder="1" applyAlignment="1">
      <alignment horizontal="right"/>
    </xf>
    <xf numFmtId="1" fontId="1" fillId="4" borderId="1" xfId="3" applyNumberFormat="1" applyBorder="1"/>
    <xf numFmtId="0" fontId="1" fillId="5" borderId="1" xfId="4" applyBorder="1" applyAlignment="1">
      <alignment horizontal="right"/>
    </xf>
    <xf numFmtId="0" fontId="1" fillId="5" borderId="1" xfId="4" applyBorder="1"/>
    <xf numFmtId="14" fontId="1" fillId="4" borderId="1" xfId="3" applyNumberFormat="1" applyBorder="1"/>
    <xf numFmtId="164" fontId="1" fillId="5" borderId="1" xfId="4" applyNumberFormat="1" applyBorder="1"/>
    <xf numFmtId="0" fontId="4" fillId="6" borderId="0" xfId="5"/>
    <xf numFmtId="165" fontId="1" fillId="5" borderId="1" xfId="4" applyNumberFormat="1" applyBorder="1"/>
    <xf numFmtId="9" fontId="1" fillId="4" borderId="1" xfId="3" applyNumberFormat="1" applyBorder="1"/>
    <xf numFmtId="44" fontId="1" fillId="4" borderId="1" xfId="3" applyNumberFormat="1" applyBorder="1"/>
    <xf numFmtId="0" fontId="4" fillId="9" borderId="5" xfId="2" applyFill="1" applyBorder="1"/>
    <xf numFmtId="0" fontId="4" fillId="9" borderId="6" xfId="2" applyFill="1" applyBorder="1"/>
    <xf numFmtId="0" fontId="4" fillId="9" borderId="7" xfId="2" applyFill="1" applyBorder="1"/>
    <xf numFmtId="0" fontId="0" fillId="0" borderId="0" xfId="0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11" borderId="0" xfId="0" applyFon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/>
    </xf>
    <xf numFmtId="49" fontId="1" fillId="7" borderId="0" xfId="6" applyNumberFormat="1" applyBorder="1"/>
    <xf numFmtId="166" fontId="1" fillId="7" borderId="0" xfId="6" applyNumberFormat="1" applyBorder="1"/>
    <xf numFmtId="14" fontId="1" fillId="7" borderId="0" xfId="6" applyNumberFormat="1" applyBorder="1" applyAlignment="1">
      <alignment horizontal="right"/>
    </xf>
    <xf numFmtId="0" fontId="1" fillId="7" borderId="0" xfId="6" applyBorder="1"/>
    <xf numFmtId="49" fontId="1" fillId="8" borderId="0" xfId="7" applyNumberFormat="1" applyBorder="1"/>
    <xf numFmtId="166" fontId="1" fillId="8" borderId="0" xfId="7" applyNumberFormat="1" applyBorder="1"/>
    <xf numFmtId="0" fontId="1" fillId="8" borderId="0" xfId="7" applyBorder="1"/>
    <xf numFmtId="14" fontId="1" fillId="8" borderId="0" xfId="7" applyNumberFormat="1" applyBorder="1" applyAlignment="1">
      <alignment horizontal="right"/>
    </xf>
    <xf numFmtId="0" fontId="4" fillId="3" borderId="0" xfId="2" applyAlignment="1">
      <alignment horizont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1" fillId="4" borderId="0" xfId="3" applyAlignment="1">
      <alignment horizontal="left" vertical="center" wrapText="1"/>
    </xf>
    <xf numFmtId="14" fontId="0" fillId="0" borderId="0" xfId="0" applyNumberFormat="1"/>
    <xf numFmtId="44" fontId="0" fillId="0" borderId="0" xfId="9" applyFont="1"/>
    <xf numFmtId="44" fontId="0" fillId="0" borderId="0" xfId="0" applyNumberFormat="1"/>
    <xf numFmtId="9" fontId="0" fillId="0" borderId="0" xfId="0" applyNumberFormat="1"/>
    <xf numFmtId="43" fontId="0" fillId="0" borderId="0" xfId="8" applyFont="1"/>
    <xf numFmtId="166" fontId="0" fillId="0" borderId="0" xfId="8" applyNumberFormat="1" applyFont="1"/>
    <xf numFmtId="0" fontId="0" fillId="0" borderId="0" xfId="0" applyNumberFormat="1"/>
    <xf numFmtId="0" fontId="0" fillId="0" borderId="0" xfId="0" applyNumberFormat="1" applyAlignment="1"/>
    <xf numFmtId="169" fontId="0" fillId="0" borderId="0" xfId="0" applyNumberFormat="1"/>
    <xf numFmtId="0" fontId="1" fillId="7" borderId="0" xfId="6" applyNumberFormat="1" applyBorder="1" applyAlignment="1">
      <alignment horizontal="right"/>
    </xf>
    <xf numFmtId="0" fontId="0" fillId="0" borderId="0" xfId="0" applyAlignment="1">
      <alignment horizontal="center" vertical="center"/>
    </xf>
    <xf numFmtId="170" fontId="0" fillId="0" borderId="0" xfId="0" applyNumberFormat="1"/>
    <xf numFmtId="170" fontId="0" fillId="0" borderId="0" xfId="0" applyNumberFormat="1" applyAlignment="1">
      <alignment textRotation="60"/>
    </xf>
  </cellXfs>
  <cellStyles count="10">
    <cellStyle name="20% - Énfasis1" xfId="3" builtinId="30"/>
    <cellStyle name="20% - Énfasis5" xfId="6" builtinId="46"/>
    <cellStyle name="40% - Énfasis1" xfId="4" builtinId="31"/>
    <cellStyle name="40% - Énfasis5" xfId="7" builtinId="47"/>
    <cellStyle name="Énfasis1" xfId="2" builtinId="29"/>
    <cellStyle name="Énfasis5" xfId="5" builtinId="45"/>
    <cellStyle name="Millares" xfId="8" builtinId="3"/>
    <cellStyle name="Moneda" xfId="9" builtinId="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5A3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16371</xdr:col>
      <xdr:colOff>504360</xdr:colOff>
      <xdr:row>3</xdr:row>
      <xdr:rowOff>190260</xdr:rowOff>
    </xdr:from>
    <xdr:to>
      <xdr:col>16371</xdr:col>
      <xdr:colOff>504720</xdr:colOff>
      <xdr:row>4</xdr:row>
      <xdr:rowOff>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14:cNvPr>
            <xdr14:cNvContentPartPr/>
          </xdr14:nvContentPartPr>
          <xdr14:nvPr macro=""/>
          <xdr14:xfrm>
            <a:off x="12475206360" y="761760"/>
            <a:ext cx="360" cy="3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475197720" y="752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3:03:53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E75D-D6D8-44BD-A0DA-A32B99EC2154}" name="rangos" displayName="rangos" ref="D1:G4" totalsRowShown="0">
  <autoFilter ref="D1:G4" xr:uid="{173BE75D-D6D8-44BD-A0DA-A32B99EC2154}"/>
  <tableColumns count="4">
    <tableColumn id="1" xr3:uid="{28CD16B4-BF1C-4E14-87B0-3967C63AF460}" name="Tipo"/>
    <tableColumn id="2" xr3:uid="{7C8046F8-EAC3-4F94-9F66-C2A3A3E80211}" name="Rango Gral"/>
    <tableColumn id="3" xr3:uid="{59BC775B-C3DF-4BFC-822E-C429F58846B7}" name="Rango Exacto"/>
    <tableColumn id="4" xr3:uid="{ECC910A6-3442-4C10-930E-24DE25F705DB}" name="Rango Fij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89B-8E56-4E83-9D76-F5A59BA1275D}">
  <dimension ref="A1:G18"/>
  <sheetViews>
    <sheetView zoomScale="115" zoomScaleNormal="115" workbookViewId="0">
      <selection activeCell="G1" sqref="D1:G4"/>
    </sheetView>
  </sheetViews>
  <sheetFormatPr baseColWidth="10" defaultRowHeight="15" x14ac:dyDescent="0.25"/>
  <cols>
    <col min="1" max="1" width="12.28515625" style="4" bestFit="1" customWidth="1"/>
    <col min="2" max="2" width="14.85546875" customWidth="1"/>
    <col min="3" max="3" width="2.7109375" style="6" customWidth="1"/>
    <col min="4" max="4" width="9.7109375" bestFit="1" customWidth="1"/>
    <col min="5" max="5" width="12.85546875" bestFit="1" customWidth="1"/>
    <col min="6" max="6" width="14.85546875" bestFit="1" customWidth="1"/>
    <col min="7" max="7" width="12.42578125" bestFit="1" customWidth="1"/>
  </cols>
  <sheetData>
    <row r="1" spans="1:7" x14ac:dyDescent="0.25">
      <c r="A1" s="3" t="s">
        <v>0</v>
      </c>
      <c r="B1" s="2" t="s">
        <v>1</v>
      </c>
      <c r="D1" t="s">
        <v>10</v>
      </c>
      <c r="E1" t="s">
        <v>14</v>
      </c>
      <c r="F1" t="s">
        <v>22</v>
      </c>
      <c r="G1" t="s">
        <v>21</v>
      </c>
    </row>
    <row r="2" spans="1:7" x14ac:dyDescent="0.25">
      <c r="A2" s="9" t="s">
        <v>2</v>
      </c>
      <c r="B2" s="10">
        <v>18</v>
      </c>
      <c r="D2" t="s">
        <v>11</v>
      </c>
      <c r="E2" t="s">
        <v>15</v>
      </c>
      <c r="F2" t="s">
        <v>16</v>
      </c>
      <c r="G2" t="s">
        <v>23</v>
      </c>
    </row>
    <row r="3" spans="1:7" x14ac:dyDescent="0.25">
      <c r="A3" s="11" t="s">
        <v>3</v>
      </c>
      <c r="B3" s="12" t="s">
        <v>4</v>
      </c>
      <c r="D3" t="s">
        <v>12</v>
      </c>
      <c r="E3" s="5" t="s">
        <v>17</v>
      </c>
      <c r="F3" t="s">
        <v>18</v>
      </c>
      <c r="G3" t="s">
        <v>24</v>
      </c>
    </row>
    <row r="4" spans="1:7" x14ac:dyDescent="0.25">
      <c r="A4" s="9" t="s">
        <v>5</v>
      </c>
      <c r="B4" s="13">
        <v>33346</v>
      </c>
      <c r="C4" s="7"/>
      <c r="D4" s="1" t="s">
        <v>13</v>
      </c>
      <c r="E4" t="s">
        <v>19</v>
      </c>
      <c r="F4" t="s">
        <v>20</v>
      </c>
      <c r="G4" t="s">
        <v>25</v>
      </c>
    </row>
    <row r="5" spans="1:7" x14ac:dyDescent="0.25">
      <c r="A5" s="11" t="s">
        <v>6</v>
      </c>
      <c r="B5" s="14">
        <v>0.3263888888888889</v>
      </c>
      <c r="C5" s="7"/>
    </row>
    <row r="6" spans="1:7" x14ac:dyDescent="0.25">
      <c r="A6" s="9" t="s">
        <v>7</v>
      </c>
      <c r="B6" s="17">
        <v>0.25</v>
      </c>
      <c r="C6" s="8"/>
      <c r="D6" s="36" t="s">
        <v>26</v>
      </c>
      <c r="E6" s="36"/>
    </row>
    <row r="7" spans="1:7" x14ac:dyDescent="0.25">
      <c r="A7" s="37" t="s">
        <v>8</v>
      </c>
      <c r="B7" s="16">
        <v>1800</v>
      </c>
      <c r="D7" s="15" t="s">
        <v>27</v>
      </c>
      <c r="E7" s="15" t="s">
        <v>28</v>
      </c>
    </row>
    <row r="8" spans="1:7" x14ac:dyDescent="0.25">
      <c r="A8" s="38"/>
      <c r="B8" s="16">
        <v>350</v>
      </c>
      <c r="D8" s="15" t="s">
        <v>29</v>
      </c>
      <c r="E8" s="15" t="s">
        <v>35</v>
      </c>
    </row>
    <row r="9" spans="1:7" x14ac:dyDescent="0.25">
      <c r="A9" s="39"/>
      <c r="B9" s="16">
        <v>56500</v>
      </c>
      <c r="D9" s="15" t="s">
        <v>30</v>
      </c>
      <c r="E9" s="15" t="s">
        <v>36</v>
      </c>
    </row>
    <row r="10" spans="1:7" x14ac:dyDescent="0.25">
      <c r="A10" s="40" t="s">
        <v>9</v>
      </c>
      <c r="B10" s="18">
        <v>1800</v>
      </c>
      <c r="D10" s="15" t="s">
        <v>31</v>
      </c>
      <c r="E10" s="15" t="s">
        <v>37</v>
      </c>
    </row>
    <row r="11" spans="1:7" x14ac:dyDescent="0.25">
      <c r="A11" s="41"/>
      <c r="B11" s="18">
        <v>350</v>
      </c>
      <c r="D11" s="15" t="s">
        <v>32</v>
      </c>
      <c r="E11" s="15" t="s">
        <v>38</v>
      </c>
    </row>
    <row r="12" spans="1:7" x14ac:dyDescent="0.25">
      <c r="A12" s="42"/>
      <c r="B12" s="18">
        <v>56500</v>
      </c>
      <c r="D12" s="15" t="s">
        <v>33</v>
      </c>
      <c r="E12" s="15" t="s">
        <v>39</v>
      </c>
    </row>
    <row r="13" spans="1:7" x14ac:dyDescent="0.25">
      <c r="D13" s="15" t="s">
        <v>34</v>
      </c>
      <c r="E13" s="15" t="s">
        <v>40</v>
      </c>
    </row>
    <row r="14" spans="1:7" x14ac:dyDescent="0.25">
      <c r="D14" s="15"/>
      <c r="E14" s="15" t="s">
        <v>41</v>
      </c>
    </row>
    <row r="15" spans="1:7" x14ac:dyDescent="0.25">
      <c r="D15" s="15"/>
      <c r="E15" s="15" t="s">
        <v>42</v>
      </c>
    </row>
    <row r="16" spans="1:7" x14ac:dyDescent="0.25">
      <c r="D16" s="15"/>
      <c r="E16" s="15" t="s">
        <v>43</v>
      </c>
    </row>
    <row r="17" spans="4:5" x14ac:dyDescent="0.25">
      <c r="D17" s="15"/>
      <c r="E17" s="15" t="s">
        <v>44</v>
      </c>
    </row>
    <row r="18" spans="4:5" x14ac:dyDescent="0.25">
      <c r="D18" s="15"/>
      <c r="E18" s="15" t="s">
        <v>45</v>
      </c>
    </row>
  </sheetData>
  <mergeCells count="3">
    <mergeCell ref="D6:E6"/>
    <mergeCell ref="A7:A9"/>
    <mergeCell ref="A10:A12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0FB-F25E-4AB3-B65C-671DA1B21CBA}">
  <dimension ref="A1:R22"/>
  <sheetViews>
    <sheetView zoomScale="115" zoomScaleNormal="115" workbookViewId="0">
      <selection activeCell="F15" sqref="F15"/>
    </sheetView>
  </sheetViews>
  <sheetFormatPr baseColWidth="10" defaultRowHeight="15" x14ac:dyDescent="0.25"/>
  <cols>
    <col min="1" max="1" width="7.140625" bestFit="1" customWidth="1"/>
    <col min="2" max="4" width="12.7109375" customWidth="1"/>
    <col min="5" max="5" width="4.85546875" bestFit="1" customWidth="1"/>
    <col min="6" max="9" width="12.7109375" customWidth="1"/>
    <col min="10" max="10" width="9.28515625" bestFit="1" customWidth="1"/>
    <col min="11" max="11" width="1.7109375" customWidth="1"/>
    <col min="12" max="12" width="6.85546875" bestFit="1" customWidth="1"/>
    <col min="13" max="13" width="6.5703125" bestFit="1" customWidth="1"/>
    <col min="14" max="14" width="9.85546875" bestFit="1" customWidth="1"/>
    <col min="15" max="15" width="1.7109375" customWidth="1"/>
    <col min="16" max="16" width="6.85546875" bestFit="1" customWidth="1"/>
    <col min="17" max="17" width="6.5703125" bestFit="1" customWidth="1"/>
    <col min="18" max="18" width="9.85546875" bestFit="1" customWidth="1"/>
  </cols>
  <sheetData>
    <row r="1" spans="1:18" x14ac:dyDescent="0.25">
      <c r="A1" t="s">
        <v>80</v>
      </c>
      <c r="B1" s="19" t="s">
        <v>47</v>
      </c>
      <c r="C1" s="20" t="s">
        <v>46</v>
      </c>
      <c r="D1" s="20" t="s">
        <v>60</v>
      </c>
      <c r="E1" s="20" t="s">
        <v>10</v>
      </c>
      <c r="F1" s="20" t="s">
        <v>2</v>
      </c>
      <c r="G1" s="20" t="s">
        <v>48</v>
      </c>
      <c r="H1" s="20" t="s">
        <v>129</v>
      </c>
      <c r="I1" s="20" t="s">
        <v>49</v>
      </c>
      <c r="J1" s="21" t="s">
        <v>50</v>
      </c>
      <c r="L1" s="36" t="s">
        <v>64</v>
      </c>
      <c r="M1" s="36"/>
      <c r="N1" s="36"/>
      <c r="P1" s="36" t="s">
        <v>65</v>
      </c>
      <c r="Q1" s="36"/>
      <c r="R1" s="36"/>
    </row>
    <row r="2" spans="1:18" ht="15" customHeight="1" x14ac:dyDescent="0.25">
      <c r="A2">
        <v>1</v>
      </c>
      <c r="B2" s="28" t="s">
        <v>51</v>
      </c>
      <c r="C2" s="28" t="s">
        <v>52</v>
      </c>
      <c r="D2" s="28" t="s">
        <v>61</v>
      </c>
      <c r="E2" s="28" t="s">
        <v>53</v>
      </c>
      <c r="F2" s="29">
        <v>35336446</v>
      </c>
      <c r="G2" s="30">
        <v>33346</v>
      </c>
      <c r="H2" s="54">
        <f ca="1">YEAR(TODAY()) - YEAR(G2)</f>
        <v>30</v>
      </c>
      <c r="I2" s="31" t="s">
        <v>54</v>
      </c>
      <c r="J2" s="31" t="s">
        <v>55</v>
      </c>
      <c r="L2" s="44" t="s">
        <v>66</v>
      </c>
      <c r="M2" s="44"/>
      <c r="N2" s="44"/>
      <c r="P2" s="44" t="s">
        <v>67</v>
      </c>
      <c r="Q2" s="44"/>
      <c r="R2" s="44"/>
    </row>
    <row r="3" spans="1:18" x14ac:dyDescent="0.25">
      <c r="A3">
        <v>2</v>
      </c>
      <c r="B3" s="32" t="s">
        <v>56</v>
      </c>
      <c r="C3" s="32" t="s">
        <v>57</v>
      </c>
      <c r="D3" s="32" t="s">
        <v>62</v>
      </c>
      <c r="E3" s="32" t="s">
        <v>53</v>
      </c>
      <c r="F3" s="33">
        <v>912364</v>
      </c>
      <c r="G3" s="35">
        <v>20581</v>
      </c>
      <c r="H3" s="54">
        <f t="shared" ref="H3:H6" ca="1" si="0">YEAR(TODAY()) - YEAR(G3)</f>
        <v>65</v>
      </c>
      <c r="I3" s="34"/>
      <c r="J3" s="34"/>
      <c r="L3" s="44"/>
      <c r="M3" s="44"/>
      <c r="N3" s="44"/>
      <c r="P3" s="44"/>
      <c r="Q3" s="44"/>
      <c r="R3" s="44"/>
    </row>
    <row r="4" spans="1:18" x14ac:dyDescent="0.25">
      <c r="A4">
        <v>3</v>
      </c>
      <c r="B4" s="28" t="s">
        <v>58</v>
      </c>
      <c r="C4" s="28" t="s">
        <v>59</v>
      </c>
      <c r="D4" s="28" t="s">
        <v>63</v>
      </c>
      <c r="E4" s="28" t="s">
        <v>53</v>
      </c>
      <c r="F4" s="29">
        <v>2342982</v>
      </c>
      <c r="G4" s="30">
        <v>20618</v>
      </c>
      <c r="H4" s="54">
        <f t="shared" ca="1" si="0"/>
        <v>65</v>
      </c>
      <c r="I4" s="31"/>
      <c r="J4" s="31"/>
      <c r="L4" s="44"/>
      <c r="M4" s="44"/>
      <c r="N4" s="44"/>
      <c r="P4" s="44"/>
      <c r="Q4" s="44"/>
      <c r="R4" s="44"/>
    </row>
    <row r="5" spans="1:18" x14ac:dyDescent="0.25">
      <c r="A5">
        <v>4</v>
      </c>
      <c r="B5" t="s">
        <v>78</v>
      </c>
      <c r="C5" t="s">
        <v>79</v>
      </c>
      <c r="D5" t="s">
        <v>61</v>
      </c>
      <c r="E5" t="s">
        <v>53</v>
      </c>
      <c r="F5">
        <v>30304567</v>
      </c>
      <c r="G5" s="45">
        <v>33662</v>
      </c>
      <c r="H5" s="54">
        <f t="shared" ca="1" si="0"/>
        <v>29</v>
      </c>
      <c r="L5" s="44"/>
      <c r="M5" s="44"/>
      <c r="N5" s="44"/>
      <c r="P5" s="44"/>
      <c r="Q5" s="44"/>
      <c r="R5" s="44"/>
    </row>
    <row r="6" spans="1:18" x14ac:dyDescent="0.25">
      <c r="A6">
        <v>5</v>
      </c>
      <c r="B6" t="s">
        <v>81</v>
      </c>
      <c r="C6" t="s">
        <v>82</v>
      </c>
      <c r="D6" t="s">
        <v>61</v>
      </c>
      <c r="E6" t="s">
        <v>53</v>
      </c>
      <c r="F6">
        <v>17239410</v>
      </c>
      <c r="G6" s="45">
        <v>31477</v>
      </c>
      <c r="H6" s="54">
        <f t="shared" ca="1" si="0"/>
        <v>35</v>
      </c>
      <c r="L6" s="44"/>
      <c r="M6" s="44"/>
      <c r="N6" s="44"/>
      <c r="P6" s="44"/>
      <c r="Q6" s="44"/>
      <c r="R6" s="44"/>
    </row>
    <row r="7" spans="1:18" x14ac:dyDescent="0.25">
      <c r="A7">
        <v>6</v>
      </c>
      <c r="L7" s="44"/>
      <c r="M7" s="44"/>
      <c r="N7" s="44"/>
      <c r="P7" s="44"/>
      <c r="Q7" s="44"/>
      <c r="R7" s="44"/>
    </row>
    <row r="8" spans="1:18" x14ac:dyDescent="0.25">
      <c r="A8">
        <v>7</v>
      </c>
      <c r="L8" s="44"/>
      <c r="M8" s="44"/>
      <c r="N8" s="44"/>
      <c r="P8" s="44"/>
      <c r="Q8" s="44"/>
      <c r="R8" s="44"/>
    </row>
    <row r="9" spans="1:18" x14ac:dyDescent="0.25">
      <c r="A9">
        <v>8</v>
      </c>
    </row>
    <row r="10" spans="1:18" x14ac:dyDescent="0.25">
      <c r="A10">
        <v>9</v>
      </c>
      <c r="L10" s="43" t="s">
        <v>68</v>
      </c>
      <c r="M10" s="43"/>
      <c r="N10" s="43"/>
      <c r="P10" s="43" t="s">
        <v>72</v>
      </c>
      <c r="Q10" s="43"/>
      <c r="R10" s="43"/>
    </row>
    <row r="11" spans="1:18" x14ac:dyDescent="0.25">
      <c r="A11">
        <v>10</v>
      </c>
      <c r="L11" s="23" t="s">
        <v>69</v>
      </c>
      <c r="M11" s="23" t="s">
        <v>70</v>
      </c>
      <c r="N11" s="23" t="s">
        <v>71</v>
      </c>
      <c r="P11" s="23" t="s">
        <v>69</v>
      </c>
      <c r="Q11" s="23" t="s">
        <v>70</v>
      </c>
      <c r="R11" s="23" t="s">
        <v>71</v>
      </c>
    </row>
    <row r="12" spans="1:18" s="22" customFormat="1" x14ac:dyDescent="0.25">
      <c r="A12">
        <v>11</v>
      </c>
      <c r="L12" s="26">
        <v>10</v>
      </c>
      <c r="M12" s="27">
        <v>5</v>
      </c>
      <c r="N12" s="26">
        <f>L12+M12</f>
        <v>15</v>
      </c>
      <c r="P12" s="26">
        <v>10</v>
      </c>
      <c r="Q12" s="27" t="s">
        <v>73</v>
      </c>
      <c r="R12" s="26">
        <f>SUM(P12:Q12)</f>
        <v>10</v>
      </c>
    </row>
    <row r="13" spans="1:18" s="6" customFormat="1" x14ac:dyDescent="0.25">
      <c r="A13">
        <v>12</v>
      </c>
      <c r="L13" s="24"/>
      <c r="M13" s="25"/>
      <c r="N13" s="24"/>
      <c r="P13" s="24"/>
      <c r="Q13" s="25"/>
      <c r="R13" s="24"/>
    </row>
    <row r="14" spans="1:18" x14ac:dyDescent="0.25">
      <c r="L14" s="43" t="s">
        <v>74</v>
      </c>
      <c r="M14" s="43"/>
      <c r="N14" s="43"/>
      <c r="P14" s="43" t="s">
        <v>75</v>
      </c>
      <c r="Q14" s="43"/>
      <c r="R14" s="43"/>
    </row>
    <row r="15" spans="1:18" x14ac:dyDescent="0.25">
      <c r="L15" s="23" t="s">
        <v>69</v>
      </c>
      <c r="M15" s="23" t="s">
        <v>70</v>
      </c>
      <c r="N15" s="23" t="s">
        <v>71</v>
      </c>
      <c r="P15" s="23" t="s">
        <v>69</v>
      </c>
      <c r="Q15" s="23" t="s">
        <v>70</v>
      </c>
      <c r="R15" s="23" t="s">
        <v>71</v>
      </c>
    </row>
    <row r="16" spans="1:18" s="22" customFormat="1" x14ac:dyDescent="0.25">
      <c r="L16" s="26">
        <v>10</v>
      </c>
      <c r="M16" s="27">
        <v>4</v>
      </c>
      <c r="N16" s="26">
        <f>L16*M16</f>
        <v>40</v>
      </c>
      <c r="P16" s="26">
        <v>5</v>
      </c>
      <c r="Q16" s="27">
        <v>5</v>
      </c>
      <c r="R16" s="26">
        <f>PRODUCT(P16:Q16)</f>
        <v>25</v>
      </c>
    </row>
    <row r="18" spans="12:18" x14ac:dyDescent="0.25">
      <c r="L18" s="43" t="s">
        <v>77</v>
      </c>
      <c r="M18" s="43"/>
      <c r="N18" s="43"/>
      <c r="P18" s="43" t="s">
        <v>76</v>
      </c>
      <c r="Q18" s="43"/>
      <c r="R18" s="43"/>
    </row>
    <row r="19" spans="12:18" x14ac:dyDescent="0.25">
      <c r="L19" s="23" t="s">
        <v>69</v>
      </c>
      <c r="M19" s="23" t="s">
        <v>70</v>
      </c>
      <c r="N19" s="23" t="s">
        <v>71</v>
      </c>
      <c r="P19" s="23" t="s">
        <v>69</v>
      </c>
      <c r="Q19" s="23" t="s">
        <v>70</v>
      </c>
      <c r="R19" s="23" t="s">
        <v>71</v>
      </c>
    </row>
    <row r="20" spans="12:18" x14ac:dyDescent="0.25">
      <c r="L20" s="26">
        <v>10</v>
      </c>
      <c r="M20" s="27">
        <v>4</v>
      </c>
      <c r="N20" s="26">
        <f>L20^M20</f>
        <v>10000</v>
      </c>
      <c r="P20" s="26">
        <v>5</v>
      </c>
      <c r="Q20" s="27">
        <v>5</v>
      </c>
      <c r="R20" s="26">
        <f>POWER(P20,Q20)</f>
        <v>3125</v>
      </c>
    </row>
    <row r="22" spans="12:18" x14ac:dyDescent="0.25">
      <c r="L22" s="22"/>
      <c r="M22" s="22"/>
      <c r="N22" s="22"/>
      <c r="O22" s="22"/>
      <c r="P22" s="22"/>
      <c r="Q22" s="22"/>
      <c r="R22" s="22"/>
    </row>
  </sheetData>
  <mergeCells count="10">
    <mergeCell ref="L1:N1"/>
    <mergeCell ref="P1:R1"/>
    <mergeCell ref="L10:N10"/>
    <mergeCell ref="P10:R10"/>
    <mergeCell ref="L18:N18"/>
    <mergeCell ref="P18:R18"/>
    <mergeCell ref="P2:R8"/>
    <mergeCell ref="L2:N8"/>
    <mergeCell ref="L14:N14"/>
    <mergeCell ref="P14:R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CE23-49C6-4DB9-B1A7-12F2629218FA}">
  <dimension ref="A1:H10"/>
  <sheetViews>
    <sheetView zoomScale="130" zoomScaleNormal="130" workbookViewId="0">
      <selection activeCell="C15" sqref="C15"/>
    </sheetView>
  </sheetViews>
  <sheetFormatPr baseColWidth="10" defaultRowHeight="15" x14ac:dyDescent="0.25"/>
  <cols>
    <col min="1" max="1" width="6.85546875" bestFit="1" customWidth="1"/>
    <col min="2" max="2" width="17.85546875" bestFit="1" customWidth="1"/>
    <col min="3" max="3" width="16.28515625" customWidth="1"/>
    <col min="4" max="4" width="8.5703125" bestFit="1" customWidth="1"/>
    <col min="5" max="5" width="16.85546875" customWidth="1"/>
    <col min="6" max="6" width="16.42578125" customWidth="1"/>
    <col min="7" max="7" width="3.5703125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97</v>
      </c>
      <c r="H1" t="s">
        <v>98</v>
      </c>
    </row>
    <row r="2" spans="1:8" x14ac:dyDescent="0.25">
      <c r="A2">
        <v>1</v>
      </c>
      <c r="B2" t="s">
        <v>88</v>
      </c>
      <c r="C2" s="46">
        <v>15699</v>
      </c>
      <c r="D2">
        <v>10</v>
      </c>
      <c r="E2" s="47">
        <f>precio_producto*cant_producto</f>
        <v>156990</v>
      </c>
      <c r="F2" s="46">
        <f>precio_producto+precio_producto*iva_21</f>
        <v>18995.79</v>
      </c>
      <c r="H2" s="48">
        <v>0.21</v>
      </c>
    </row>
    <row r="3" spans="1:8" x14ac:dyDescent="0.25">
      <c r="A3">
        <v>2</v>
      </c>
      <c r="B3" t="s">
        <v>89</v>
      </c>
      <c r="C3" s="46">
        <v>69999</v>
      </c>
      <c r="D3">
        <v>50</v>
      </c>
      <c r="E3" s="47">
        <f>precio_producto*cant_producto</f>
        <v>3499950</v>
      </c>
      <c r="F3" s="46">
        <f>precio_producto+precio_producto*iva_21</f>
        <v>84698.79</v>
      </c>
    </row>
    <row r="4" spans="1:8" x14ac:dyDescent="0.25">
      <c r="A4">
        <v>3</v>
      </c>
      <c r="B4" t="s">
        <v>90</v>
      </c>
      <c r="C4" s="46">
        <v>25500</v>
      </c>
      <c r="D4">
        <v>60</v>
      </c>
      <c r="E4" s="47">
        <f>precio_producto*cant_producto</f>
        <v>1530000</v>
      </c>
      <c r="F4" s="46">
        <f>precio_producto+precio_producto*iva_21</f>
        <v>30855</v>
      </c>
    </row>
    <row r="5" spans="1:8" x14ac:dyDescent="0.25">
      <c r="A5">
        <v>4</v>
      </c>
      <c r="B5" t="s">
        <v>91</v>
      </c>
      <c r="C5" s="46">
        <v>45560</v>
      </c>
      <c r="D5">
        <v>23</v>
      </c>
      <c r="E5" s="47">
        <f>precio_producto*cant_producto</f>
        <v>1047880</v>
      </c>
      <c r="F5" s="46">
        <f>precio_producto+precio_producto*iva_21</f>
        <v>55127.6</v>
      </c>
    </row>
    <row r="6" spans="1:8" x14ac:dyDescent="0.25">
      <c r="A6">
        <v>5</v>
      </c>
      <c r="B6" t="s">
        <v>92</v>
      </c>
      <c r="C6" s="46">
        <v>5400</v>
      </c>
      <c r="D6">
        <v>48</v>
      </c>
      <c r="E6" s="47">
        <f>precio_producto*cant_producto</f>
        <v>259200</v>
      </c>
      <c r="F6" s="46">
        <f>precio_producto+precio_producto*iva_21</f>
        <v>6534</v>
      </c>
    </row>
    <row r="7" spans="1:8" x14ac:dyDescent="0.25">
      <c r="A7">
        <v>6</v>
      </c>
      <c r="B7" t="s">
        <v>93</v>
      </c>
      <c r="C7" s="46">
        <v>12500</v>
      </c>
      <c r="D7">
        <v>32</v>
      </c>
      <c r="E7" s="47">
        <f>precio_producto*cant_producto</f>
        <v>400000</v>
      </c>
      <c r="F7" s="46">
        <f>precio_producto+precio_producto*iva_21</f>
        <v>15125</v>
      </c>
    </row>
    <row r="8" spans="1:8" x14ac:dyDescent="0.25">
      <c r="A8">
        <v>7</v>
      </c>
      <c r="B8" t="s">
        <v>94</v>
      </c>
      <c r="C8" s="46">
        <v>56799</v>
      </c>
      <c r="D8">
        <v>56</v>
      </c>
      <c r="E8" s="47">
        <f>precio_producto*cant_producto</f>
        <v>3180744</v>
      </c>
      <c r="F8" s="46">
        <f>precio_producto+precio_producto*iva_21</f>
        <v>68726.789999999994</v>
      </c>
    </row>
    <row r="9" spans="1:8" x14ac:dyDescent="0.25">
      <c r="A9">
        <v>8</v>
      </c>
      <c r="B9" t="s">
        <v>95</v>
      </c>
      <c r="C9" s="46">
        <v>23499</v>
      </c>
      <c r="D9">
        <v>90</v>
      </c>
      <c r="E9" s="47">
        <f>precio_producto*cant_producto</f>
        <v>2114910</v>
      </c>
      <c r="F9" s="46">
        <f>precio_producto+precio_producto*iva_21</f>
        <v>28433.79</v>
      </c>
    </row>
    <row r="10" spans="1:8" x14ac:dyDescent="0.25">
      <c r="A10">
        <v>9</v>
      </c>
      <c r="B10" t="s">
        <v>96</v>
      </c>
      <c r="C10" s="46">
        <v>23456</v>
      </c>
      <c r="D10">
        <v>200</v>
      </c>
      <c r="E10" s="47">
        <f>precio_producto*cant_producto</f>
        <v>4691200</v>
      </c>
      <c r="F10" s="46">
        <f>precio_producto+precio_producto*iva_21</f>
        <v>28381.760000000002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9E19-0F3F-4EF8-9EBC-6B70E06D0050}">
  <dimension ref="A1:M17"/>
  <sheetViews>
    <sheetView topLeftCell="A5" zoomScale="115" zoomScaleNormal="115" workbookViewId="0">
      <pane xSplit="4" topLeftCell="E1" activePane="topRight" state="frozen"/>
      <selection pane="topRight" activeCell="C13" sqref="C13"/>
    </sheetView>
  </sheetViews>
  <sheetFormatPr baseColWidth="10" defaultRowHeight="15" x14ac:dyDescent="0.25"/>
  <cols>
    <col min="1" max="1" width="7.140625" bestFit="1" customWidth="1"/>
    <col min="2" max="2" width="17.5703125" bestFit="1" customWidth="1"/>
    <col min="3" max="3" width="17.85546875" bestFit="1" customWidth="1"/>
    <col min="4" max="4" width="4.5703125" customWidth="1"/>
    <col min="5" max="5" width="7.5703125" bestFit="1" customWidth="1"/>
    <col min="6" max="6" width="5.28515625" bestFit="1" customWidth="1"/>
    <col min="7" max="7" width="4.85546875" bestFit="1" customWidth="1"/>
    <col min="8" max="8" width="9.5703125" bestFit="1" customWidth="1"/>
    <col min="9" max="9" width="14" style="46" bestFit="1" customWidth="1"/>
    <col min="10" max="10" width="9.85546875" bestFit="1" customWidth="1"/>
    <col min="11" max="11" width="3.5703125" customWidth="1"/>
    <col min="12" max="12" width="18.85546875" style="46" bestFit="1" customWidth="1"/>
    <col min="13" max="13" width="10.5703125" bestFit="1" customWidth="1"/>
  </cols>
  <sheetData>
    <row r="1" spans="1:13" x14ac:dyDescent="0.25">
      <c r="A1" t="str">
        <f>cod_producto</f>
        <v>codigo</v>
      </c>
      <c r="B1" t="str">
        <f>iva_producto</f>
        <v>precio+iva</v>
      </c>
      <c r="C1" t="str">
        <f>detalle_producto</f>
        <v>detalle</v>
      </c>
      <c r="E1" t="s">
        <v>108</v>
      </c>
      <c r="F1" t="s">
        <v>105</v>
      </c>
      <c r="G1" t="s">
        <v>106</v>
      </c>
      <c r="H1" t="s">
        <v>100</v>
      </c>
      <c r="I1" s="46" t="s">
        <v>87</v>
      </c>
      <c r="J1" t="s">
        <v>101</v>
      </c>
      <c r="L1" s="46" t="s">
        <v>107</v>
      </c>
      <c r="M1" t="s">
        <v>86</v>
      </c>
    </row>
    <row r="2" spans="1:13" x14ac:dyDescent="0.25">
      <c r="A2">
        <f>cod_producto</f>
        <v>1</v>
      </c>
      <c r="B2" s="46">
        <f>iva_producto</f>
        <v>18995.79</v>
      </c>
      <c r="C2" t="str">
        <f>detalle_producto</f>
        <v>microondas</v>
      </c>
      <c r="E2">
        <v>1</v>
      </c>
      <c r="F2">
        <v>3</v>
      </c>
      <c r="G2">
        <v>1</v>
      </c>
      <c r="H2">
        <v>3</v>
      </c>
      <c r="I2" s="46">
        <f>precio_3*cant_ventas</f>
        <v>30855</v>
      </c>
      <c r="J2" t="s">
        <v>102</v>
      </c>
      <c r="L2" s="46">
        <f>SUM(total_ventas)</f>
        <v>1132316.79</v>
      </c>
      <c r="M2">
        <f>COUNT(total_ventas)</f>
        <v>15</v>
      </c>
    </row>
    <row r="3" spans="1:13" x14ac:dyDescent="0.25">
      <c r="A3">
        <f>cod_producto</f>
        <v>2</v>
      </c>
      <c r="B3" s="46">
        <f>iva_producto</f>
        <v>84698.79</v>
      </c>
      <c r="C3" t="str">
        <f>detalle_producto</f>
        <v>lavarropas</v>
      </c>
      <c r="E3">
        <v>2</v>
      </c>
      <c r="F3">
        <v>4</v>
      </c>
      <c r="G3">
        <v>2</v>
      </c>
      <c r="H3">
        <v>5</v>
      </c>
      <c r="I3" s="46">
        <f>precio_4*cant_ventas</f>
        <v>110255.2</v>
      </c>
      <c r="J3" t="s">
        <v>103</v>
      </c>
      <c r="L3" s="46" t="s">
        <v>109</v>
      </c>
      <c r="M3" t="s">
        <v>113</v>
      </c>
    </row>
    <row r="4" spans="1:13" x14ac:dyDescent="0.25">
      <c r="A4">
        <f>cod_producto</f>
        <v>3</v>
      </c>
      <c r="B4" s="46">
        <f>iva_producto</f>
        <v>30855</v>
      </c>
      <c r="C4" t="str">
        <f>detalle_producto</f>
        <v>secarropas</v>
      </c>
      <c r="E4">
        <v>3</v>
      </c>
      <c r="F4">
        <v>5</v>
      </c>
      <c r="G4">
        <v>5</v>
      </c>
      <c r="H4">
        <v>2</v>
      </c>
      <c r="I4" s="46">
        <f>precio_5*cant_ventas</f>
        <v>32670</v>
      </c>
      <c r="J4" t="s">
        <v>102</v>
      </c>
      <c r="L4" s="46">
        <f>AVERAGE(total_ventas)</f>
        <v>75487.786000000007</v>
      </c>
      <c r="M4">
        <f>AVERAGE(cant_ventas)</f>
        <v>2.4</v>
      </c>
    </row>
    <row r="5" spans="1:13" x14ac:dyDescent="0.25">
      <c r="A5">
        <f>cod_producto</f>
        <v>4</v>
      </c>
      <c r="B5" s="46">
        <f>iva_producto</f>
        <v>55127.6</v>
      </c>
      <c r="C5" t="str">
        <f>detalle_producto</f>
        <v>aire acondicionado</v>
      </c>
      <c r="E5">
        <v>4</v>
      </c>
      <c r="F5">
        <v>2</v>
      </c>
      <c r="G5">
        <v>2</v>
      </c>
      <c r="H5">
        <v>5</v>
      </c>
      <c r="I5" s="46">
        <f>precio_2*cant_ventas</f>
        <v>169397.58</v>
      </c>
      <c r="J5" t="s">
        <v>102</v>
      </c>
      <c r="L5" s="46" t="s">
        <v>117</v>
      </c>
      <c r="M5" t="s">
        <v>118</v>
      </c>
    </row>
    <row r="6" spans="1:13" x14ac:dyDescent="0.25">
      <c r="A6">
        <f>cod_producto</f>
        <v>5</v>
      </c>
      <c r="B6" s="46">
        <f>iva_producto</f>
        <v>6534</v>
      </c>
      <c r="C6" t="str">
        <f>detalle_producto</f>
        <v>secador de pelo</v>
      </c>
      <c r="E6">
        <v>5</v>
      </c>
      <c r="F6">
        <v>1</v>
      </c>
      <c r="G6">
        <v>1</v>
      </c>
      <c r="H6">
        <v>3</v>
      </c>
      <c r="I6" s="46">
        <f>precio_1*cant_ventas</f>
        <v>18995.79</v>
      </c>
      <c r="J6" t="s">
        <v>104</v>
      </c>
      <c r="L6" s="46">
        <f>MEDIAN(total_ventas)</f>
        <v>84698.79</v>
      </c>
      <c r="M6">
        <f>MEDIAN(cant_ventas)</f>
        <v>2</v>
      </c>
    </row>
    <row r="7" spans="1:13" x14ac:dyDescent="0.25">
      <c r="A7">
        <f>cod_producto</f>
        <v>6</v>
      </c>
      <c r="B7" s="46">
        <f>iva_producto</f>
        <v>15125</v>
      </c>
      <c r="C7" t="str">
        <f>detalle_producto</f>
        <v>horno electrico</v>
      </c>
      <c r="E7">
        <v>6</v>
      </c>
      <c r="F7">
        <v>3</v>
      </c>
      <c r="G7">
        <v>3</v>
      </c>
      <c r="H7">
        <v>1</v>
      </c>
      <c r="I7" s="46">
        <f>precio_3*cant_ventas</f>
        <v>92565</v>
      </c>
      <c r="J7" t="s">
        <v>103</v>
      </c>
      <c r="L7" s="46" t="s">
        <v>110</v>
      </c>
      <c r="M7" t="s">
        <v>114</v>
      </c>
    </row>
    <row r="8" spans="1:13" x14ac:dyDescent="0.25">
      <c r="A8">
        <f>cod_producto</f>
        <v>7</v>
      </c>
      <c r="B8" s="46">
        <f>iva_producto</f>
        <v>68726.789999999994</v>
      </c>
      <c r="C8" t="str">
        <f>detalle_producto</f>
        <v>notebook</v>
      </c>
      <c r="E8">
        <v>7</v>
      </c>
      <c r="F8">
        <v>3</v>
      </c>
      <c r="G8">
        <v>5</v>
      </c>
      <c r="H8">
        <v>2</v>
      </c>
      <c r="I8" s="46">
        <f>precio_3*cant_ventas</f>
        <v>154275</v>
      </c>
      <c r="J8" t="s">
        <v>102</v>
      </c>
      <c r="L8" s="46">
        <f>MAX(total_ventas)</f>
        <v>169397.58</v>
      </c>
      <c r="M8">
        <f>MAX(cant_ventas)</f>
        <v>5</v>
      </c>
    </row>
    <row r="9" spans="1:13" x14ac:dyDescent="0.25">
      <c r="A9">
        <f>cod_producto</f>
        <v>8</v>
      </c>
      <c r="B9" s="46">
        <f>iva_producto</f>
        <v>28433.79</v>
      </c>
      <c r="C9" t="str">
        <f>detalle_producto</f>
        <v>monitor</v>
      </c>
      <c r="E9">
        <v>8</v>
      </c>
      <c r="F9">
        <v>4</v>
      </c>
      <c r="G9">
        <v>2</v>
      </c>
      <c r="H9">
        <v>1</v>
      </c>
      <c r="I9" s="46">
        <f>precio_4*cant_ventas</f>
        <v>110255.2</v>
      </c>
      <c r="J9" t="s">
        <v>103</v>
      </c>
      <c r="L9" s="46" t="s">
        <v>111</v>
      </c>
      <c r="M9" t="s">
        <v>115</v>
      </c>
    </row>
    <row r="10" spans="1:13" x14ac:dyDescent="0.25">
      <c r="A10">
        <f>cod_producto</f>
        <v>9</v>
      </c>
      <c r="B10" s="46">
        <f>iva_producto</f>
        <v>28381.760000000002</v>
      </c>
      <c r="C10" t="str">
        <f>detalle_producto</f>
        <v>placard</v>
      </c>
      <c r="E10">
        <v>9</v>
      </c>
      <c r="F10">
        <v>3</v>
      </c>
      <c r="G10">
        <v>3</v>
      </c>
      <c r="H10">
        <v>4</v>
      </c>
      <c r="I10" s="46">
        <f>precio_3*cant_ventas</f>
        <v>92565</v>
      </c>
      <c r="J10" t="s">
        <v>102</v>
      </c>
      <c r="L10" s="46">
        <f>MIN(total_ventas)</f>
        <v>6534</v>
      </c>
      <c r="M10">
        <f>MIN(cant_ventas)</f>
        <v>1</v>
      </c>
    </row>
    <row r="11" spans="1:13" x14ac:dyDescent="0.25">
      <c r="E11">
        <v>10</v>
      </c>
      <c r="F11">
        <v>2</v>
      </c>
      <c r="G11">
        <v>1</v>
      </c>
      <c r="H11">
        <v>3</v>
      </c>
      <c r="I11" s="46">
        <f>precio_2*cant_ventas</f>
        <v>84698.79</v>
      </c>
      <c r="J11" t="s">
        <v>102</v>
      </c>
      <c r="L11" s="46" t="s">
        <v>112</v>
      </c>
      <c r="M11" t="s">
        <v>116</v>
      </c>
    </row>
    <row r="12" spans="1:13" x14ac:dyDescent="0.25">
      <c r="A12" t="str">
        <f>Empleados!A1</f>
        <v>Codigo</v>
      </c>
      <c r="B12" t="s">
        <v>99</v>
      </c>
      <c r="E12">
        <v>11</v>
      </c>
      <c r="F12">
        <v>1</v>
      </c>
      <c r="G12">
        <v>3</v>
      </c>
      <c r="H12">
        <v>5</v>
      </c>
      <c r="I12" s="46">
        <f>precio_1*cant_ventas</f>
        <v>56987.37</v>
      </c>
      <c r="J12" t="s">
        <v>104</v>
      </c>
      <c r="L12" s="50">
        <f>MODE(vendedor)</f>
        <v>5</v>
      </c>
      <c r="M12">
        <f>MODE(cant_ventas)</f>
        <v>2</v>
      </c>
    </row>
    <row r="13" spans="1:13" x14ac:dyDescent="0.25">
      <c r="A13">
        <f>Empleados!A2</f>
        <v>1</v>
      </c>
      <c r="B13" t="str">
        <f>_xlfn.CONCAT(Empleados!C2," ",Empleados!B2)</f>
        <v>Racedo Cristian</v>
      </c>
      <c r="E13">
        <v>12</v>
      </c>
      <c r="F13">
        <v>8</v>
      </c>
      <c r="G13">
        <v>2</v>
      </c>
      <c r="H13">
        <v>2</v>
      </c>
      <c r="I13" s="46">
        <f>precio_8*cant_ventas</f>
        <v>56867.58</v>
      </c>
      <c r="J13" t="s">
        <v>103</v>
      </c>
    </row>
    <row r="14" spans="1:13" x14ac:dyDescent="0.25">
      <c r="A14">
        <f>Empleados!A3</f>
        <v>2</v>
      </c>
      <c r="B14" t="str">
        <f>_xlfn.CONCAT(Empleados!C3," ",Empleados!B3)</f>
        <v>Freud Sigmund</v>
      </c>
      <c r="E14">
        <v>13</v>
      </c>
      <c r="F14">
        <v>5</v>
      </c>
      <c r="G14">
        <v>1</v>
      </c>
      <c r="H14">
        <v>5</v>
      </c>
      <c r="I14" s="46">
        <f>precio_5*cant_ventas</f>
        <v>6534</v>
      </c>
      <c r="J14" t="s">
        <v>103</v>
      </c>
    </row>
    <row r="15" spans="1:13" x14ac:dyDescent="0.25">
      <c r="A15">
        <f>Empleados!A4</f>
        <v>3</v>
      </c>
      <c r="B15" t="str">
        <f>_xlfn.CONCAT(Empleados!C4," ",Empleados!B4)</f>
        <v>Vitto Corleone</v>
      </c>
      <c r="E15">
        <v>14</v>
      </c>
      <c r="F15">
        <v>6</v>
      </c>
      <c r="G15">
        <v>2</v>
      </c>
      <c r="H15">
        <v>2</v>
      </c>
      <c r="I15" s="46">
        <f>precio_6*cant_ventas</f>
        <v>30250</v>
      </c>
      <c r="J15" t="s">
        <v>102</v>
      </c>
    </row>
    <row r="16" spans="1:13" x14ac:dyDescent="0.25">
      <c r="A16">
        <f>Empleados!A5</f>
        <v>4</v>
      </c>
      <c r="B16" t="str">
        <f>_xlfn.CONCAT(Empleados!C5," ",Empleados!B5)</f>
        <v xml:space="preserve">Perez Juan </v>
      </c>
      <c r="E16">
        <v>15</v>
      </c>
      <c r="F16">
        <v>9</v>
      </c>
      <c r="G16">
        <v>3</v>
      </c>
      <c r="H16">
        <v>1</v>
      </c>
      <c r="I16" s="46">
        <f>precio_9*cant_ventas</f>
        <v>85145.279999999999</v>
      </c>
      <c r="J16" t="s">
        <v>102</v>
      </c>
    </row>
    <row r="17" spans="1:2" x14ac:dyDescent="0.25">
      <c r="A17">
        <f>Empleados!A6</f>
        <v>5</v>
      </c>
      <c r="B17" t="str">
        <f>_xlfn.CONCAT(Empleados!C6," ",Empleados!B6)</f>
        <v>Alvarez Paola</v>
      </c>
    </row>
  </sheetData>
  <pageMargins left="0.7" right="0.7" top="0.75" bottom="0.75" header="0.3" footer="0.3"/>
  <ignoredErrors>
    <ignoredError sqref="I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82A7-93C6-4622-8504-C8DAA74FDD8B}">
  <dimension ref="A1:AJ16"/>
  <sheetViews>
    <sheetView zoomScale="130" zoomScaleNormal="130" workbookViewId="0">
      <pane xSplit="1" topLeftCell="AB1" activePane="topRight" state="frozen"/>
      <selection pane="topRight" activeCell="AF1" sqref="AF1"/>
    </sheetView>
  </sheetViews>
  <sheetFormatPr baseColWidth="10" defaultRowHeight="15" x14ac:dyDescent="0.25"/>
  <cols>
    <col min="1" max="1" width="14.5703125" bestFit="1" customWidth="1"/>
    <col min="2" max="28" width="7.7109375" customWidth="1"/>
    <col min="29" max="29" width="9.7109375" bestFit="1" customWidth="1"/>
    <col min="30" max="30" width="8.140625" bestFit="1" customWidth="1"/>
    <col min="31" max="31" width="7.7109375" customWidth="1"/>
    <col min="35" max="35" width="11.85546875" bestFit="1" customWidth="1"/>
    <col min="36" max="36" width="8.7109375" bestFit="1" customWidth="1"/>
  </cols>
  <sheetData>
    <row r="1" spans="1:36" s="56" customFormat="1" ht="42" x14ac:dyDescent="0.25">
      <c r="A1" s="56" t="s">
        <v>119</v>
      </c>
      <c r="B1" s="57">
        <v>44378</v>
      </c>
      <c r="C1" s="57">
        <v>44379</v>
      </c>
      <c r="D1" s="57">
        <v>44380</v>
      </c>
      <c r="E1" s="57">
        <v>44381</v>
      </c>
      <c r="F1" s="57">
        <v>44382</v>
      </c>
      <c r="G1" s="57">
        <v>44383</v>
      </c>
      <c r="H1" s="57">
        <v>44384</v>
      </c>
      <c r="I1" s="57">
        <v>44385</v>
      </c>
      <c r="J1" s="57">
        <v>44386</v>
      </c>
      <c r="K1" s="57">
        <v>44387</v>
      </c>
      <c r="L1" s="57">
        <v>44388</v>
      </c>
      <c r="M1" s="57">
        <v>44389</v>
      </c>
      <c r="N1" s="57">
        <v>44390</v>
      </c>
      <c r="O1" s="57">
        <v>44391</v>
      </c>
      <c r="P1" s="57">
        <v>44392</v>
      </c>
      <c r="Q1" s="57">
        <v>44393</v>
      </c>
      <c r="R1" s="57">
        <v>44394</v>
      </c>
      <c r="S1" s="57">
        <v>44395</v>
      </c>
      <c r="T1" s="57">
        <v>44396</v>
      </c>
      <c r="U1" s="57">
        <v>44397</v>
      </c>
      <c r="V1" s="57">
        <v>44398</v>
      </c>
      <c r="W1" s="57">
        <v>44399</v>
      </c>
      <c r="X1" s="57">
        <v>44400</v>
      </c>
      <c r="Y1" s="57">
        <v>44401</v>
      </c>
      <c r="Z1" s="57">
        <v>44402</v>
      </c>
      <c r="AA1" s="57">
        <v>44403</v>
      </c>
      <c r="AB1" s="57">
        <v>44404</v>
      </c>
      <c r="AC1" s="57">
        <v>44405</v>
      </c>
      <c r="AD1" s="57">
        <v>44406</v>
      </c>
      <c r="AE1" s="57">
        <v>44407</v>
      </c>
      <c r="AI1" s="56" t="s">
        <v>5</v>
      </c>
      <c r="AJ1" s="56" t="s">
        <v>6</v>
      </c>
    </row>
    <row r="2" spans="1:36" s="51" customFormat="1" x14ac:dyDescent="0.25">
      <c r="B2" s="52" t="str">
        <f>TEXT(B1,"dddd")</f>
        <v>jueves</v>
      </c>
      <c r="C2" s="52" t="str">
        <f t="shared" ref="C2:AE2" si="0">TEXT(C1,"dddd")</f>
        <v>viernes</v>
      </c>
      <c r="D2" s="52" t="str">
        <f t="shared" si="0"/>
        <v>sábado</v>
      </c>
      <c r="E2" s="52" t="str">
        <f t="shared" si="0"/>
        <v>domingo</v>
      </c>
      <c r="F2" s="52" t="str">
        <f t="shared" si="0"/>
        <v>lunes</v>
      </c>
      <c r="G2" s="52" t="str">
        <f t="shared" si="0"/>
        <v>martes</v>
      </c>
      <c r="H2" s="52" t="str">
        <f t="shared" si="0"/>
        <v>miércoles</v>
      </c>
      <c r="I2" s="52" t="str">
        <f t="shared" si="0"/>
        <v>jueves</v>
      </c>
      <c r="J2" s="52" t="str">
        <f t="shared" si="0"/>
        <v>viernes</v>
      </c>
      <c r="K2" s="52" t="str">
        <f t="shared" si="0"/>
        <v>sábado</v>
      </c>
      <c r="L2" s="52" t="str">
        <f t="shared" si="0"/>
        <v>domingo</v>
      </c>
      <c r="M2" s="52" t="str">
        <f t="shared" si="0"/>
        <v>lunes</v>
      </c>
      <c r="N2" s="52" t="str">
        <f t="shared" si="0"/>
        <v>martes</v>
      </c>
      <c r="O2" s="52" t="str">
        <f t="shared" si="0"/>
        <v>miércoles</v>
      </c>
      <c r="P2" s="52" t="str">
        <f t="shared" si="0"/>
        <v>jueves</v>
      </c>
      <c r="Q2" s="52" t="str">
        <f t="shared" si="0"/>
        <v>viernes</v>
      </c>
      <c r="R2" s="52" t="str">
        <f t="shared" si="0"/>
        <v>sábado</v>
      </c>
      <c r="S2" s="52" t="str">
        <f t="shared" si="0"/>
        <v>domingo</v>
      </c>
      <c r="T2" s="52" t="str">
        <f t="shared" si="0"/>
        <v>lunes</v>
      </c>
      <c r="U2" s="52" t="str">
        <f t="shared" si="0"/>
        <v>martes</v>
      </c>
      <c r="V2" s="52" t="str">
        <f t="shared" si="0"/>
        <v>miércoles</v>
      </c>
      <c r="W2" s="52" t="str">
        <f t="shared" si="0"/>
        <v>jueves</v>
      </c>
      <c r="X2" s="52" t="str">
        <f t="shared" si="0"/>
        <v>viernes</v>
      </c>
      <c r="Y2" s="52" t="str">
        <f t="shared" si="0"/>
        <v>sábado</v>
      </c>
      <c r="Z2" s="52" t="str">
        <f t="shared" si="0"/>
        <v>domingo</v>
      </c>
      <c r="AA2" s="52" t="str">
        <f t="shared" si="0"/>
        <v>lunes</v>
      </c>
      <c r="AB2" s="52" t="str">
        <f t="shared" si="0"/>
        <v>martes</v>
      </c>
      <c r="AC2" s="52" t="str">
        <f t="shared" si="0"/>
        <v>miércoles</v>
      </c>
      <c r="AD2" s="52" t="str">
        <f t="shared" si="0"/>
        <v>jueves</v>
      </c>
      <c r="AE2" s="52" t="str">
        <f t="shared" si="0"/>
        <v>viernes</v>
      </c>
      <c r="AF2" t="s">
        <v>121</v>
      </c>
      <c r="AG2" t="s">
        <v>122</v>
      </c>
      <c r="AI2" s="45">
        <f ca="1">TODAY()</f>
        <v>44398</v>
      </c>
      <c r="AJ2" s="53">
        <f ca="1">NOW()</f>
        <v>44398.921204166669</v>
      </c>
    </row>
    <row r="3" spans="1:36" x14ac:dyDescent="0.25">
      <c r="A3" s="51" t="str">
        <f>_xlfn.CONCAT(Empleados!C2," ",Empleados!B2)</f>
        <v>Racedo Cristian</v>
      </c>
      <c r="B3" t="s">
        <v>120</v>
      </c>
      <c r="D3" t="s">
        <v>120</v>
      </c>
      <c r="F3" t="s">
        <v>120</v>
      </c>
      <c r="G3" t="s">
        <v>120</v>
      </c>
      <c r="H3" t="s">
        <v>120</v>
      </c>
      <c r="M3" t="s">
        <v>120</v>
      </c>
      <c r="O3" t="s">
        <v>120</v>
      </c>
      <c r="Q3" t="s">
        <v>120</v>
      </c>
      <c r="T3" t="s">
        <v>120</v>
      </c>
      <c r="U3" t="s">
        <v>120</v>
      </c>
      <c r="W3" t="s">
        <v>120</v>
      </c>
      <c r="X3" t="s">
        <v>120</v>
      </c>
      <c r="Y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>
        <f>COUNTA(B3:AE3)</f>
        <v>18</v>
      </c>
      <c r="AG3">
        <f>COUNTBLANK(B3:AE3)</f>
        <v>12</v>
      </c>
      <c r="AI3" t="s">
        <v>123</v>
      </c>
      <c r="AJ3">
        <f ca="1">YEAR(AI2)</f>
        <v>2021</v>
      </c>
    </row>
    <row r="4" spans="1:36" x14ac:dyDescent="0.25">
      <c r="A4" s="51" t="str">
        <f>_xlfn.CONCAT(Empleados!C3," ",Empleados!B3)</f>
        <v>Freud Sigmund</v>
      </c>
      <c r="D4" t="s">
        <v>120</v>
      </c>
      <c r="F4" t="s">
        <v>120</v>
      </c>
      <c r="G4" t="s">
        <v>120</v>
      </c>
      <c r="I4" t="s">
        <v>120</v>
      </c>
      <c r="J4" t="s">
        <v>120</v>
      </c>
      <c r="K4" t="s">
        <v>120</v>
      </c>
      <c r="M4" t="s">
        <v>120</v>
      </c>
      <c r="N4" t="s">
        <v>120</v>
      </c>
      <c r="P4" t="s">
        <v>120</v>
      </c>
      <c r="Q4" t="s">
        <v>120</v>
      </c>
      <c r="R4" t="s">
        <v>120</v>
      </c>
      <c r="T4" t="s">
        <v>120</v>
      </c>
      <c r="V4" t="s">
        <v>120</v>
      </c>
      <c r="AA4" t="s">
        <v>120</v>
      </c>
      <c r="AE4" t="s">
        <v>120</v>
      </c>
      <c r="AF4">
        <f t="shared" ref="AF4:AF7" si="1">COUNTA(B4:AE4)</f>
        <v>15</v>
      </c>
      <c r="AG4">
        <f t="shared" ref="AG4:AG7" si="2">COUNTBLANK(B4:AE4)</f>
        <v>15</v>
      </c>
      <c r="AI4" t="s">
        <v>124</v>
      </c>
      <c r="AJ4">
        <f ca="1">MONTH(AI2)</f>
        <v>7</v>
      </c>
    </row>
    <row r="5" spans="1:36" x14ac:dyDescent="0.25">
      <c r="A5" s="51" t="str">
        <f>_xlfn.CONCAT(Empleados!C4," ",Empleados!B4)</f>
        <v>Vitto Corleone</v>
      </c>
      <c r="B5" t="s">
        <v>120</v>
      </c>
      <c r="C5" t="s">
        <v>120</v>
      </c>
      <c r="F5" t="s">
        <v>120</v>
      </c>
      <c r="H5" t="s">
        <v>120</v>
      </c>
      <c r="J5" t="s">
        <v>120</v>
      </c>
      <c r="K5" t="s">
        <v>120</v>
      </c>
      <c r="O5" t="s">
        <v>120</v>
      </c>
      <c r="Q5" t="s">
        <v>120</v>
      </c>
      <c r="R5" t="s">
        <v>120</v>
      </c>
      <c r="U5" t="s">
        <v>120</v>
      </c>
      <c r="V5" t="s">
        <v>120</v>
      </c>
      <c r="W5" t="s">
        <v>120</v>
      </c>
      <c r="X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>
        <f t="shared" si="1"/>
        <v>18</v>
      </c>
      <c r="AG5">
        <f t="shared" si="2"/>
        <v>12</v>
      </c>
      <c r="AI5" t="s">
        <v>125</v>
      </c>
      <c r="AJ5">
        <f ca="1">DAY(AI2)</f>
        <v>21</v>
      </c>
    </row>
    <row r="6" spans="1:36" x14ac:dyDescent="0.25">
      <c r="A6" s="51" t="str">
        <f>_xlfn.CONCAT(Empleados!C5," ",Empleados!B5)</f>
        <v xml:space="preserve">Perez Juan </v>
      </c>
      <c r="B6" t="s">
        <v>120</v>
      </c>
      <c r="D6" t="s">
        <v>120</v>
      </c>
      <c r="G6" t="s">
        <v>120</v>
      </c>
      <c r="H6" t="s">
        <v>120</v>
      </c>
      <c r="K6" t="s">
        <v>120</v>
      </c>
      <c r="N6" t="s">
        <v>120</v>
      </c>
      <c r="O6" t="s">
        <v>120</v>
      </c>
      <c r="Q6" t="s">
        <v>120</v>
      </c>
      <c r="R6" t="s">
        <v>120</v>
      </c>
      <c r="T6" t="s">
        <v>120</v>
      </c>
      <c r="V6" t="s">
        <v>120</v>
      </c>
      <c r="W6" t="s">
        <v>120</v>
      </c>
      <c r="X6" t="s">
        <v>120</v>
      </c>
      <c r="Y6" t="s">
        <v>120</v>
      </c>
      <c r="AA6" t="s">
        <v>120</v>
      </c>
      <c r="AB6" t="s">
        <v>120</v>
      </c>
      <c r="AC6" t="s">
        <v>120</v>
      </c>
      <c r="AF6">
        <f t="shared" si="1"/>
        <v>17</v>
      </c>
      <c r="AG6">
        <f t="shared" si="2"/>
        <v>13</v>
      </c>
      <c r="AI6" t="s">
        <v>126</v>
      </c>
      <c r="AJ6">
        <f ca="1">HOUR(AJ2)</f>
        <v>22</v>
      </c>
    </row>
    <row r="7" spans="1:36" x14ac:dyDescent="0.25">
      <c r="A7" s="51" t="str">
        <f>_xlfn.CONCAT(Empleados!C6," ",Empleados!B6)</f>
        <v>Alvarez Paola</v>
      </c>
      <c r="C7" t="s">
        <v>120</v>
      </c>
      <c r="D7" t="s">
        <v>120</v>
      </c>
      <c r="I7" t="s">
        <v>120</v>
      </c>
      <c r="M7" t="s">
        <v>120</v>
      </c>
      <c r="O7" t="s">
        <v>120</v>
      </c>
      <c r="Q7" t="s">
        <v>120</v>
      </c>
      <c r="R7" t="s">
        <v>120</v>
      </c>
      <c r="U7" t="s">
        <v>120</v>
      </c>
      <c r="W7" t="s">
        <v>120</v>
      </c>
      <c r="X7" t="s">
        <v>120</v>
      </c>
      <c r="Y7" t="s">
        <v>120</v>
      </c>
      <c r="AA7" t="s">
        <v>120</v>
      </c>
      <c r="AD7" t="s">
        <v>120</v>
      </c>
      <c r="AF7">
        <f t="shared" si="1"/>
        <v>13</v>
      </c>
      <c r="AG7">
        <f t="shared" si="2"/>
        <v>17</v>
      </c>
      <c r="AI7" t="s">
        <v>127</v>
      </c>
      <c r="AJ7">
        <f ca="1">MINUTE(AJ2)</f>
        <v>6</v>
      </c>
    </row>
    <row r="8" spans="1:36" x14ac:dyDescent="0.25">
      <c r="B8">
        <f>COUNTA(B3:B7)</f>
        <v>3</v>
      </c>
      <c r="C8">
        <f t="shared" ref="C8:AE8" si="3">COUNTA(C3:C7)</f>
        <v>2</v>
      </c>
      <c r="D8">
        <f t="shared" si="3"/>
        <v>4</v>
      </c>
      <c r="E8">
        <f t="shared" si="3"/>
        <v>0</v>
      </c>
      <c r="F8">
        <f t="shared" si="3"/>
        <v>3</v>
      </c>
      <c r="G8">
        <f t="shared" si="3"/>
        <v>3</v>
      </c>
      <c r="H8">
        <f t="shared" si="3"/>
        <v>3</v>
      </c>
      <c r="I8">
        <f t="shared" si="3"/>
        <v>2</v>
      </c>
      <c r="J8">
        <f t="shared" si="3"/>
        <v>2</v>
      </c>
      <c r="K8">
        <f t="shared" si="3"/>
        <v>3</v>
      </c>
      <c r="L8">
        <f t="shared" si="3"/>
        <v>0</v>
      </c>
      <c r="M8">
        <f t="shared" si="3"/>
        <v>3</v>
      </c>
      <c r="N8">
        <f t="shared" si="3"/>
        <v>2</v>
      </c>
      <c r="O8">
        <f t="shared" si="3"/>
        <v>4</v>
      </c>
      <c r="P8">
        <f t="shared" si="3"/>
        <v>1</v>
      </c>
      <c r="Q8">
        <f t="shared" si="3"/>
        <v>5</v>
      </c>
      <c r="R8">
        <f t="shared" si="3"/>
        <v>4</v>
      </c>
      <c r="S8">
        <f t="shared" si="3"/>
        <v>0</v>
      </c>
      <c r="T8">
        <f t="shared" si="3"/>
        <v>3</v>
      </c>
      <c r="U8">
        <f t="shared" si="3"/>
        <v>3</v>
      </c>
      <c r="V8">
        <f t="shared" si="3"/>
        <v>3</v>
      </c>
      <c r="W8">
        <f t="shared" si="3"/>
        <v>4</v>
      </c>
      <c r="X8">
        <f t="shared" si="3"/>
        <v>4</v>
      </c>
      <c r="Y8">
        <f t="shared" si="3"/>
        <v>3</v>
      </c>
      <c r="Z8">
        <f t="shared" si="3"/>
        <v>0</v>
      </c>
      <c r="AA8">
        <f t="shared" si="3"/>
        <v>5</v>
      </c>
      <c r="AB8">
        <f t="shared" si="3"/>
        <v>3</v>
      </c>
      <c r="AC8">
        <f t="shared" si="3"/>
        <v>3</v>
      </c>
      <c r="AD8">
        <f t="shared" si="3"/>
        <v>3</v>
      </c>
      <c r="AE8">
        <f t="shared" si="3"/>
        <v>3</v>
      </c>
      <c r="AF8">
        <f>SUM(AF3:AF7)</f>
        <v>81</v>
      </c>
      <c r="AG8">
        <f>SUM(AG3:AG7)</f>
        <v>69</v>
      </c>
      <c r="AI8" t="s">
        <v>128</v>
      </c>
      <c r="AJ8">
        <f ca="1">SECOND(AJ2)</f>
        <v>32</v>
      </c>
    </row>
    <row r="9" spans="1:36" x14ac:dyDescent="0.25">
      <c r="A9" s="55" t="s">
        <v>130</v>
      </c>
    </row>
    <row r="10" spans="1:36" x14ac:dyDescent="0.25">
      <c r="A10" s="55">
        <f>MAX(asist)</f>
        <v>18</v>
      </c>
    </row>
    <row r="11" spans="1:36" x14ac:dyDescent="0.25">
      <c r="A11" s="55" t="s">
        <v>131</v>
      </c>
    </row>
    <row r="12" spans="1:36" x14ac:dyDescent="0.25">
      <c r="A12" s="55">
        <f>MIN(asist)</f>
        <v>13</v>
      </c>
    </row>
    <row r="13" spans="1:36" x14ac:dyDescent="0.25">
      <c r="A13" s="55" t="s">
        <v>113</v>
      </c>
    </row>
    <row r="14" spans="1:36" x14ac:dyDescent="0.25">
      <c r="A14" s="55">
        <f>AVERAGE(asist)</f>
        <v>16.2</v>
      </c>
    </row>
    <row r="15" spans="1:36" x14ac:dyDescent="0.25">
      <c r="A15" s="55" t="s">
        <v>132</v>
      </c>
    </row>
    <row r="16" spans="1:36" x14ac:dyDescent="0.25">
      <c r="A16" s="55">
        <f>MEDIAN(asist)</f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9618-214A-4558-93B9-20406C7574C7}">
  <dimension ref="A1:N5"/>
  <sheetViews>
    <sheetView tabSelected="1" zoomScale="160" zoomScaleNormal="160" workbookViewId="0">
      <pane xSplit="2" topLeftCell="I1" activePane="topRight" state="frozen"/>
      <selection pane="topRight" activeCell="L1" sqref="L1:L1048576"/>
    </sheetView>
  </sheetViews>
  <sheetFormatPr baseColWidth="10" defaultRowHeight="15" x14ac:dyDescent="0.25"/>
  <cols>
    <col min="1" max="1" width="6.85546875" bestFit="1" customWidth="1"/>
    <col min="2" max="2" width="17.28515625" bestFit="1" customWidth="1"/>
    <col min="3" max="3" width="13.85546875" bestFit="1" customWidth="1"/>
    <col min="6" max="6" width="3.28515625" bestFit="1" customWidth="1"/>
    <col min="7" max="7" width="11.28515625" bestFit="1" customWidth="1"/>
    <col min="8" max="8" width="3.7109375" bestFit="1" customWidth="1"/>
    <col min="9" max="9" width="18.28515625" bestFit="1" customWidth="1"/>
    <col min="12" max="12" width="9.85546875" bestFit="1" customWidth="1"/>
    <col min="14" max="14" width="9.42578125" bestFit="1" customWidth="1"/>
  </cols>
  <sheetData>
    <row r="1" spans="1:14" x14ac:dyDescent="0.25">
      <c r="A1" t="s">
        <v>83</v>
      </c>
      <c r="B1" t="s">
        <v>133</v>
      </c>
      <c r="C1" t="s">
        <v>134</v>
      </c>
      <c r="D1" t="s">
        <v>135</v>
      </c>
      <c r="E1" t="s">
        <v>136</v>
      </c>
      <c r="F1" t="s">
        <v>145</v>
      </c>
      <c r="G1" t="s">
        <v>144</v>
      </c>
      <c r="H1" t="s">
        <v>146</v>
      </c>
      <c r="I1" t="s">
        <v>47</v>
      </c>
      <c r="K1" s="45" t="s">
        <v>46</v>
      </c>
      <c r="L1" t="s">
        <v>147</v>
      </c>
      <c r="M1" t="s">
        <v>148</v>
      </c>
      <c r="N1" t="s">
        <v>150</v>
      </c>
    </row>
    <row r="2" spans="1:14" x14ac:dyDescent="0.25">
      <c r="A2">
        <v>1</v>
      </c>
      <c r="B2" t="s">
        <v>149</v>
      </c>
      <c r="C2" t="s">
        <v>140</v>
      </c>
      <c r="D2" s="45">
        <v>35302</v>
      </c>
      <c r="F2" t="str">
        <f>LEFT(C2,2)</f>
        <v>20</v>
      </c>
      <c r="G2" s="49" t="str">
        <f>MID(C2,4,8)</f>
        <v>43242343</v>
      </c>
      <c r="H2" t="str">
        <f>RIGHT(C2,1)</f>
        <v>2</v>
      </c>
      <c r="I2" t="str">
        <f>RIGHT(B2,M2-L2)</f>
        <v>Armando Jorge Luis</v>
      </c>
      <c r="J2" t="str">
        <f>MID(B2,N2,M2-N2 + 1)</f>
        <v xml:space="preserve"> Jorge Luis</v>
      </c>
      <c r="K2" t="str">
        <f>LEFT(B2,L2)</f>
        <v xml:space="preserve">Rojas </v>
      </c>
      <c r="L2">
        <f>FIND(" ",B2)</f>
        <v>6</v>
      </c>
      <c r="M2">
        <f>LEN(B2)</f>
        <v>24</v>
      </c>
      <c r="N2">
        <f>FIND(" ",B2,L2+1)</f>
        <v>14</v>
      </c>
    </row>
    <row r="3" spans="1:14" x14ac:dyDescent="0.25">
      <c r="A3">
        <v>2</v>
      </c>
      <c r="B3" t="s">
        <v>137</v>
      </c>
      <c r="C3" t="s">
        <v>141</v>
      </c>
      <c r="D3" s="45">
        <v>33511</v>
      </c>
      <c r="F3" t="str">
        <f>LEFT(C3,2)</f>
        <v>30</v>
      </c>
      <c r="G3" s="49" t="str">
        <f t="shared" ref="G3:G5" si="0">MID(C3,4,8)</f>
        <v>23421233</v>
      </c>
      <c r="H3" t="str">
        <f>RIGHT(C3,1)</f>
        <v>1</v>
      </c>
      <c r="I3" t="str">
        <f>RIGHT(B3,M3-L3)</f>
        <v>Luis</v>
      </c>
      <c r="K3" t="str">
        <f>LEFT(B3,L3)</f>
        <v xml:space="preserve">Vargas </v>
      </c>
      <c r="L3">
        <f t="shared" ref="L3:L5" si="1">FIND(" ",B3)</f>
        <v>7</v>
      </c>
      <c r="M3">
        <f t="shared" ref="M3:M5" si="2">LEN(B3)</f>
        <v>11</v>
      </c>
      <c r="N3" t="e">
        <f>FIND(" ",B3,L3+1)</f>
        <v>#VALUE!</v>
      </c>
    </row>
    <row r="4" spans="1:14" x14ac:dyDescent="0.25">
      <c r="A4">
        <v>3</v>
      </c>
      <c r="B4" t="s">
        <v>138</v>
      </c>
      <c r="C4" t="s">
        <v>142</v>
      </c>
      <c r="D4" s="45">
        <v>31183</v>
      </c>
      <c r="F4" t="str">
        <f t="shared" ref="F4:F5" si="3">LEFT(C4,2)</f>
        <v>25</v>
      </c>
      <c r="G4" s="49" t="str">
        <f t="shared" si="0"/>
        <v>26432891</v>
      </c>
      <c r="H4" t="str">
        <f t="shared" ref="H4:H5" si="4">RIGHT(C4,1)</f>
        <v>6</v>
      </c>
      <c r="I4" t="str">
        <f>RIGHT(B4,M4-L4)</f>
        <v>Cintia</v>
      </c>
      <c r="K4" t="str">
        <f>LEFT(B4,L4)</f>
        <v xml:space="preserve">Ramirez </v>
      </c>
      <c r="L4">
        <f t="shared" si="1"/>
        <v>8</v>
      </c>
      <c r="M4">
        <f t="shared" si="2"/>
        <v>14</v>
      </c>
      <c r="N4" t="e">
        <f>FIND(" ",B4,L4+1)</f>
        <v>#VALUE!</v>
      </c>
    </row>
    <row r="5" spans="1:14" x14ac:dyDescent="0.25">
      <c r="A5">
        <v>4</v>
      </c>
      <c r="B5" t="s">
        <v>139</v>
      </c>
      <c r="C5" t="s">
        <v>143</v>
      </c>
      <c r="D5" s="45">
        <v>33679</v>
      </c>
      <c r="F5" t="str">
        <f t="shared" si="3"/>
        <v>27</v>
      </c>
      <c r="G5" s="49" t="str">
        <f t="shared" si="0"/>
        <v>35189382</v>
      </c>
      <c r="H5" t="str">
        <f t="shared" si="4"/>
        <v>5</v>
      </c>
      <c r="I5" t="str">
        <f>RIGHT(B5,M5-L5)</f>
        <v>Claudia</v>
      </c>
      <c r="K5" t="str">
        <f>LEFT(B5,L5)</f>
        <v xml:space="preserve">Diaz </v>
      </c>
      <c r="L5">
        <f t="shared" si="1"/>
        <v>5</v>
      </c>
      <c r="M5">
        <f t="shared" si="2"/>
        <v>12</v>
      </c>
      <c r="N5" t="e">
        <f>FIND(" ",B5,L5+1)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Formatos</vt:lpstr>
      <vt:lpstr>Empleados</vt:lpstr>
      <vt:lpstr>Productos</vt:lpstr>
      <vt:lpstr>Ventas</vt:lpstr>
      <vt:lpstr>Presentismo</vt:lpstr>
      <vt:lpstr>Hoja4</vt:lpstr>
      <vt:lpstr>asist</vt:lpstr>
      <vt:lpstr>aus</vt:lpstr>
      <vt:lpstr>cant_producto</vt:lpstr>
      <vt:lpstr>cant_ventas</vt:lpstr>
      <vt:lpstr>cod_producto</vt:lpstr>
      <vt:lpstr>detalle_producto</vt:lpstr>
      <vt:lpstr>iva_21</vt:lpstr>
      <vt:lpstr>iva_producto</vt:lpstr>
      <vt:lpstr>precio_1</vt:lpstr>
      <vt:lpstr>precio_2</vt:lpstr>
      <vt:lpstr>precio_3</vt:lpstr>
      <vt:lpstr>precio_4</vt:lpstr>
      <vt:lpstr>precio_5</vt:lpstr>
      <vt:lpstr>precio_6</vt:lpstr>
      <vt:lpstr>precio_7</vt:lpstr>
      <vt:lpstr>precio_8</vt:lpstr>
      <vt:lpstr>precio_9</vt:lpstr>
      <vt:lpstr>precio_producto</vt:lpstr>
      <vt:lpstr>total_producto</vt:lpstr>
      <vt:lpstr>total_ventas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2021-07-16T22:31:58Z</dcterms:created>
  <dcterms:modified xsi:type="dcterms:W3CDTF">2021-07-22T03:35:04Z</dcterms:modified>
</cp:coreProperties>
</file>