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BC9B1A19-643B-4089-B1C5-499A7D73E950}" xr6:coauthVersionLast="47" xr6:coauthVersionMax="47" xr10:uidLastSave="{00000000-0000-0000-0000-000000000000}"/>
  <bookViews>
    <workbookView xWindow="-120" yWindow="-120" windowWidth="20730" windowHeight="11040" xr2:uid="{FBF13C54-EAF5-48F7-B675-6702B08EF7EF}"/>
  </bookViews>
  <sheets>
    <sheet name="empleados" sheetId="1" r:id="rId1"/>
    <sheet name="datos" sheetId="5" r:id="rId2"/>
    <sheet name="presentismo" sheetId="4" r:id="rId3"/>
    <sheet name="productos" sheetId="2" r:id="rId4"/>
    <sheet name="ventas" sheetId="3" r:id="rId5"/>
  </sheets>
  <definedNames>
    <definedName name="ahora">datos!$P$2</definedName>
    <definedName name="año">datos!$Q$2</definedName>
    <definedName name="cant">ventas!$D:$D</definedName>
    <definedName name="hoy">datos!$O$2</definedName>
    <definedName name="iva">ventas!$J$2</definedName>
    <definedName name="precio">ventas!$E:$E</definedName>
    <definedName name="precio_iva">ventas!$G:$G</definedName>
    <definedName name="total">ventas!$F:$F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I2" i="5"/>
  <c r="I3" i="5"/>
  <c r="I4" i="5"/>
  <c r="I5" i="5"/>
  <c r="I6" i="5"/>
  <c r="J2" i="5"/>
  <c r="J3" i="5"/>
  <c r="J4" i="5"/>
  <c r="J5" i="5"/>
  <c r="J6" i="5"/>
  <c r="H2" i="5"/>
  <c r="H3" i="5"/>
  <c r="H4" i="5"/>
  <c r="H5" i="5"/>
  <c r="H6" i="5"/>
  <c r="O2" i="5"/>
  <c r="R2" i="5" s="1"/>
  <c r="P2" i="5"/>
  <c r="V2" i="5" s="1"/>
  <c r="AG6" i="4"/>
  <c r="A5" i="4"/>
  <c r="A4" i="4"/>
  <c r="A6" i="4"/>
  <c r="A6" i="5" s="1"/>
  <c r="AF5" i="4"/>
  <c r="AF6" i="4"/>
  <c r="AG5" i="4"/>
  <c r="AG2" i="4"/>
  <c r="AF2" i="4"/>
  <c r="AJ3" i="4" s="1"/>
  <c r="AG3" i="4"/>
  <c r="AG4" i="4"/>
  <c r="AF3" i="4"/>
  <c r="AF4" i="4"/>
  <c r="A3" i="4"/>
  <c r="A2" i="4"/>
  <c r="A2" i="5" s="1"/>
  <c r="G5" i="3"/>
  <c r="G9" i="3"/>
  <c r="F3" i="3"/>
  <c r="G3" i="3" s="1"/>
  <c r="F4" i="3"/>
  <c r="G4" i="3" s="1"/>
  <c r="F5" i="3"/>
  <c r="H5" i="3" s="1"/>
  <c r="F6" i="3"/>
  <c r="G6" i="3" s="1"/>
  <c r="F7" i="3"/>
  <c r="G7" i="3" s="1"/>
  <c r="F8" i="3"/>
  <c r="G8" i="3" s="1"/>
  <c r="F9" i="3"/>
  <c r="H9" i="3" s="1"/>
  <c r="F10" i="3"/>
  <c r="G10" i="3" s="1"/>
  <c r="F11" i="3"/>
  <c r="G11" i="3" s="1"/>
  <c r="F2" i="3"/>
  <c r="G2" i="3" s="1"/>
  <c r="H2" i="3" l="1"/>
  <c r="H8" i="3"/>
  <c r="H4" i="3"/>
  <c r="H11" i="3"/>
  <c r="H7" i="3"/>
  <c r="H3" i="3"/>
  <c r="H10" i="3"/>
  <c r="H6" i="3"/>
  <c r="M6" i="5"/>
  <c r="L6" i="5"/>
  <c r="B6" i="5" s="1"/>
  <c r="L5" i="5"/>
  <c r="B5" i="5" s="1"/>
  <c r="M5" i="5"/>
  <c r="C5" i="5" s="1"/>
  <c r="L4" i="5"/>
  <c r="B4" i="5" s="1"/>
  <c r="M4" i="5"/>
  <c r="C4" i="5" s="1"/>
  <c r="L3" i="5"/>
  <c r="B3" i="5" s="1"/>
  <c r="M3" i="5"/>
  <c r="C3" i="5" s="1"/>
  <c r="M2" i="5"/>
  <c r="L2" i="5"/>
  <c r="B2" i="5" s="1"/>
  <c r="F4" i="5"/>
  <c r="F6" i="5"/>
  <c r="F2" i="5"/>
  <c r="F5" i="5"/>
  <c r="F3" i="5"/>
  <c r="S2" i="5"/>
  <c r="T2" i="5"/>
  <c r="Q2" i="5"/>
  <c r="U2" i="5"/>
  <c r="AJ4" i="4"/>
  <c r="AJ6" i="4"/>
  <c r="AK6" i="4"/>
  <c r="AK3" i="4"/>
  <c r="AK5" i="4"/>
  <c r="AJ2" i="4"/>
  <c r="AJ5" i="4"/>
  <c r="AJ7" i="4"/>
  <c r="AK7" i="4"/>
  <c r="AK2" i="4"/>
  <c r="AK4" i="4"/>
  <c r="C2" i="5" l="1"/>
  <c r="C6" i="5"/>
  <c r="E2" i="5" a="1"/>
  <c r="E2" i="5" s="1"/>
  <c r="E4" i="5" a="1"/>
  <c r="E4" i="5" s="1"/>
  <c r="E6" i="5" a="1"/>
  <c r="E6" i="5" s="1"/>
  <c r="E3" i="5" a="1"/>
  <c r="E3" i="5" s="1"/>
  <c r="E5" i="5" a="1"/>
  <c r="E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<sst xmlns="http://schemas.openxmlformats.org/spreadsheetml/2006/main" count="195" uniqueCount="98">
  <si>
    <t>codigo</t>
  </si>
  <si>
    <t>apellido</t>
  </si>
  <si>
    <t>nombre</t>
  </si>
  <si>
    <t>legajo</t>
  </si>
  <si>
    <t>edad</t>
  </si>
  <si>
    <t>sector</t>
  </si>
  <si>
    <t>cuil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</si>
  <si>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</si>
  <si>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</si>
  <si>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</si>
  <si>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</si>
  <si>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</si>
  <si>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</si>
  <si>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</si>
  <si>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</si>
  <si>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</si>
  <si>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</si>
  <si>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</si>
  <si>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</si>
  <si>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</si>
  <si>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</si>
  <si>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</si>
  <si>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</si>
  <si>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</si>
  <si>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</si>
  <si>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</si>
  <si>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</si>
  <si>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</si>
  <si>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</si>
  <si>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</si>
  <si>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</si>
  <si>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</si>
  <si>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</si>
  <si>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</si>
  <si>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</si>
  <si>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</si>
  <si>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</si>
  <si>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</si>
  <si>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</si>
  <si>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</si>
  <si>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</si>
  <si>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</si>
  <si>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</si>
  <si>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</si>
  <si>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</si>
  <si>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</si>
  <si>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</si>
  <si>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</si>
  <si>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</si>
  <si>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</si>
  <si>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</si>
  <si>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</si>
  <si>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</si>
  <si>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</si>
  <si>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</si>
  <si>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</si>
  <si>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</si>
  <si>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</si>
  <si>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</si>
  <si>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</si>
  <si>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</si>
  <si>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</si>
  <si>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</si>
  <si>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</si>
  <si>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</si>
  <si>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</si>
  <si>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</si>
  <si>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</si>
  <si>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</si>
  <si>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</si>
  <si>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</si>
  <si>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</si>
  <si>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</si>
  <si>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</si>
  <si>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</si>
  <si>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</si>
  <si>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</si>
  <si>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años</t>
  </si>
  <si>
    <t>nacimiento</t>
  </si>
  <si>
    <t>HH</t>
  </si>
  <si>
    <t>mm</t>
  </si>
  <si>
    <t>ss</t>
  </si>
  <si>
    <t>v</t>
  </si>
  <si>
    <t>g</t>
  </si>
  <si>
    <t>docmento</t>
  </si>
  <si>
    <t>empleado</t>
  </si>
  <si>
    <t>char</t>
  </si>
  <si>
    <t>;</t>
  </si>
  <si>
    <t>largo</t>
  </si>
  <si>
    <t>cristian Damian</t>
  </si>
  <si>
    <t xml:space="preserve">racedo    </t>
  </si>
  <si>
    <t xml:space="preserve">    racedo</t>
  </si>
  <si>
    <t xml:space="preserve">   Aguilera</t>
  </si>
  <si>
    <t xml:space="preserve">Cristina     </t>
  </si>
  <si>
    <t>Abel      Alejandro</t>
  </si>
  <si>
    <t>Shakira      Alejandra</t>
  </si>
  <si>
    <t xml:space="preserve">Lionel      Andres </t>
  </si>
  <si>
    <t xml:space="preserve">Messi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</si>
</sst>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</cellXfs>
  <cellStyles count="4">
    <cellStyle name="Hipervínculo" xfId="3" builtinId="8"/>
    <cellStyle name="Millares" xfId="2" builtinId="3"/>
    <cellStyle name="Moneda" xfId="1" builtinId="4"/>
    <cellStyle name="Normal" xfId="0" builtinId="0"/>
  </cellStyles>
  <dxfs count="52"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empleados" displayName="empleados" ref="A1:E6" totalsRowShown="0">
  <autoFilter ref="A1:E6" xr:uid="{7DAC5F66-FDAB-4B10-8475-ECE8FAEEF22D}"/>
  <tableColumns count="5">
    <tableColumn id="1" xr3:uid="{9B2FABCB-122E-4021-BCB9-1ABCF38F08D1}" name="codigo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O1:V2" totalsRowShown="0">
  <autoFilter ref="O1:V2" xr:uid="{21CB7767-E429-4D32-8B4C-B110EB0BC09A}"/>
  <tableColumns count="8">
    <tableColumn id="1" xr3:uid="{D0C157DB-5866-4540-85DA-CA9246E3491C}" name="HOY" dataDxfId="51">
      <calculatedColumnFormula>TODAY()</calculatedColumnFormula>
    </tableColumn>
    <tableColumn id="2" xr3:uid="{F19B6CA2-44B0-4AA2-94E5-4821559CF825}" name="AHORA" dataDxfId="5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datos" displayName="datos" ref="A1:M6" totalsRowShown="0" headerRowDxfId="49" dataDxfId="48">
  <autoFilter ref="A1:M6" xr:uid="{A8CA9039-9259-406D-B167-9DC94801EDAB}"/>
  <tableColumns count="13">
    <tableColumn id="1" xr3:uid="{1E40E760-3B7A-46CB-ADE6-9C36221D8FBE}" name="empleado" dataDxfId="47">
      <calculatedColumnFormula>TRIM(presentismo[[#This Row],[Empleado]])</calculatedColumnFormula>
    </tableColumn>
    <tableColumn id="2" xr3:uid="{A673056C-D666-4A82-8F15-DA591ECD51CD}" name="apellido" dataDxfId="46">
      <calculatedColumnFormula>LEFT(datos[[#This Row],[empleado]],datos[[#This Row],[p]] - 1)</calculatedColumnFormula>
    </tableColumn>
    <tableColumn id="3" xr3:uid="{98D588C0-9131-404A-823E-4F312157B4EE}" name="nombre" dataDxfId="45">
      <calculatedColumnFormula>RIGHT(datos[[#This Row],[empleado]],datos[[#This Row],[largo]] - datos[[#This Row],[p]] - 1)</calculatedColumnFormula>
    </tableColumn>
    <tableColumn id="4" xr3:uid="{DA16E63D-3C7B-4235-BC8E-3EB411EC2AF9}" name="nacimiento" dataDxfId="44"/>
    <tableColumn id="5" xr3:uid="{D65F57BC-8164-4AB7-8337-DE00B9FD8A3A}" name="años" dataDxfId="43">
      <calculatedColumnFormula array="1">tiempo[AÑO]-YEAR(datos[[#This Row],[nacimiento]])</calculatedColumnFormula>
    </tableColumn>
    <tableColumn id="6" xr3:uid="{906FCDA3-636B-4283-9205-7AF46F977290}" name="edad" dataDxfId="42" dataCellStyle="Millares">
      <calculatedColumnFormula>(hoy-datos[[#This Row],[nacimiento]])/365</calculatedColumnFormula>
    </tableColumn>
    <tableColumn id="7" xr3:uid="{019FA1D5-4F09-4717-AE40-B6C31AA7DC9C}" name="cuil" dataDxfId="41"/>
    <tableColumn id="8" xr3:uid="{FECB634B-7A6D-4C5C-80DC-9D64C533A46D}" name="g" dataDxfId="40">
      <calculatedColumnFormula>LEFT(datos[[#This Row],[cuil]],2)</calculatedColumnFormula>
    </tableColumn>
    <tableColumn id="9" xr3:uid="{4DAF6AA5-E15E-4B0E-A6B3-0413A3FC7025}" name="docmento" dataDxfId="39">
      <calculatedColumnFormula>MID(datos[[#This Row],[cuil]],4,8)</calculatedColumnFormula>
    </tableColumn>
    <tableColumn id="10" xr3:uid="{98242B92-44B0-46D8-B255-BEFE9B217C6E}" name="v" dataDxfId="38">
      <calculatedColumnFormula>RIGHT(datos[[#This Row],[cuil]],1)</calculatedColumnFormula>
    </tableColumn>
    <tableColumn id="11" xr3:uid="{96F6AC38-E0D7-4538-BF50-B26B716ECD40}" name="char" dataDxfId="37"/>
    <tableColumn id="12" xr3:uid="{900EA9DF-7806-4E2A-BE95-A5AA6FF29C93}" name="p" dataDxfId="36">
      <calculatedColumnFormula>FIND(datos[[#This Row],[char]],datos[[#This Row],[empleado]])</calculatedColumnFormula>
    </tableColumn>
    <tableColumn id="13" xr3:uid="{7A21E3B8-95EE-4371-95D5-EA3889520837}" name="largo" dataDxfId="35">
      <calculatedColumnFormula>LEN(datos[[#This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presentismo" displayName="presentismo" ref="A1:AG6" totalsRowShown="0" headerRowDxfId="34" dataDxfId="33">
  <autoFilter ref="A1:AG6" xr:uid="{5F56470C-30B4-4EBD-BFC4-C92DB644C2CF}"/>
  <tableColumns count="33">
    <tableColumn id="1" xr3:uid="{83429F3A-0633-41B4-A217-0D30DFCF116B}" name="Empleado" dataDxfId="32">
      <calculatedColumnFormula>_xlfn.CONCAT(empleados[[#This Row],[apellido]]&amp;"; "&amp;empleados[[#This Row],[nombre]])</calculatedColumnFormula>
    </tableColumn>
    <tableColumn id="2" xr3:uid="{887EC86C-1521-40B0-A6C3-0B2B3230C024}" name="1/11/22" dataDxfId="31"/>
    <tableColumn id="3" xr3:uid="{C8618297-DB24-4382-BD1E-E53E7DB10A63}" name="2/11/22" dataDxfId="30"/>
    <tableColumn id="4" xr3:uid="{6182BB9D-62C7-4740-9A83-3BF4CE62D8C0}" name="3/11/22" dataDxfId="29"/>
    <tableColumn id="5" xr3:uid="{C4722C79-3465-44B4-AAFE-AED718DFEF78}" name="4/11/22" dataDxfId="28"/>
    <tableColumn id="6" xr3:uid="{443CA749-360E-405C-BCF0-3AA088ECB546}" name="5/11/22" dataDxfId="27"/>
    <tableColumn id="7" xr3:uid="{DDC8BC93-6522-4621-A6CE-E663DAA5E060}" name="6/11/22" dataDxfId="26"/>
    <tableColumn id="8" xr3:uid="{044D1592-31CC-4BD8-9305-F821CBDE87C3}" name="7/11/22" dataDxfId="25"/>
    <tableColumn id="9" xr3:uid="{58B8F006-DDC6-45D4-913C-A9728CE4DEEB}" name="8/11/22" dataDxfId="24"/>
    <tableColumn id="10" xr3:uid="{2E67B63B-C7A3-4447-B240-2206A83EB1AE}" name="9/11/22" dataDxfId="23"/>
    <tableColumn id="11" xr3:uid="{E063B5BB-2482-4A97-B99C-CEE9E8FBC8AD}" name="10/11/22" dataDxfId="22"/>
    <tableColumn id="12" xr3:uid="{C388062D-2D19-400D-9799-432AF612D74D}" name="11/11/22" dataDxfId="21"/>
    <tableColumn id="13" xr3:uid="{AC73BB9A-6A78-4DB1-885C-194594FB6F10}" name="12/11/22" dataDxfId="20"/>
    <tableColumn id="14" xr3:uid="{06A3A94F-6999-487D-ABBD-26DFBE539387}" name="13/11/22" dataDxfId="19"/>
    <tableColumn id="15" xr3:uid="{50DAE1CB-9B50-4836-80C2-0F7D5D1DBF7E}" name="14/11/22" dataDxfId="18"/>
    <tableColumn id="16" xr3:uid="{BA731102-2D66-4B65-A41F-E60E74E4BC71}" name="15/11/22" dataDxfId="17"/>
    <tableColumn id="17" xr3:uid="{B971CE8E-7E54-4964-AB64-E900A025F05F}" name="16/11/22" dataDxfId="16"/>
    <tableColumn id="18" xr3:uid="{F3A47F16-27A5-4C5D-BF2D-83E030C5E47F}" name="17/11/22" dataDxfId="15"/>
    <tableColumn id="19" xr3:uid="{2DD162DD-96E2-41F4-AD3B-2ACC01BBF7A8}" name="18/11/22" dataDxfId="14"/>
    <tableColumn id="20" xr3:uid="{55AD600E-9E3F-4481-BAF3-174F391E80B6}" name="19/11/22" dataDxfId="13"/>
    <tableColumn id="21" xr3:uid="{CB5594F7-50A6-4AB3-8C66-47AE394E8A42}" name="20/11/22" dataDxfId="12"/>
    <tableColumn id="22" xr3:uid="{9BAC2972-6A5B-4717-B16D-0F035A83C001}" name="21/11/22" dataDxfId="11"/>
    <tableColumn id="23" xr3:uid="{2C7E1E57-A0FD-43F5-A1C0-D9CEF839010F}" name="22/11/22" dataDxfId="10"/>
    <tableColumn id="24" xr3:uid="{BF09FF2E-08CF-4C77-B995-FA552B07331C}" name="23/11/22" dataDxfId="9"/>
    <tableColumn id="25" xr3:uid="{F95FD232-FFA9-4C2A-8A79-A314A99627B1}" name="24/11/22" dataDxfId="8"/>
    <tableColumn id="26" xr3:uid="{4157B269-FC1E-4344-80EE-594F0938411C}" name="25/11/22" dataDxfId="7"/>
    <tableColumn id="27" xr3:uid="{500155F2-C488-4E91-95A3-7525D567F566}" name="26/11/22" dataDxfId="6"/>
    <tableColumn id="28" xr3:uid="{5743E408-8FAC-44AE-81BD-FE1F0BA91CEB}" name="27/11/22" dataDxfId="5"/>
    <tableColumn id="29" xr3:uid="{919A6993-970F-452F-9B2D-9D06989985BF}" name="28/11/22" dataDxfId="4"/>
    <tableColumn id="30" xr3:uid="{6FCC3D91-E530-49DC-9803-12984CBA6BE9}" name="29/11/22" dataDxfId="3"/>
    <tableColumn id="31" xr3:uid="{E6DAAE99-A983-4374-B5B5-FA292704266A}" name="30/11/22" dataDxfId="2"/>
    <tableColumn id="32" xr3:uid="{9612EC83-2684-4EAF-A263-5FD181F5472E}" name="ASIST" dataDxfId="1">
      <calculatedColumnFormula>COUNTA(B2:AE2)</calculatedColumnFormula>
    </tableColumn>
    <tableColumn id="33" xr3:uid="{CF4CC9FE-4916-47D6-BF2F-CC31868C00D4}" name="AUS" dataDxfId="0">
      <calculatedColumnFormula>COUNTBLANK(B2:AE2)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F6"/>
  <sheetViews>
    <sheetView tabSelected="1" zoomScale="130" zoomScaleNormal="130" workbookViewId="0">
      <selection activeCell="G2" sqref="G2"/>
    </sheetView>
  </sheetViews>
  <sheetFormatPr baseColWidth="10" defaultRowHeight="15" x14ac:dyDescent="0.25"/>
  <cols>
    <col min="1" max="1" width="9.140625" bestFit="1" customWidth="1"/>
    <col min="2" max="2" width="10.5703125" bestFit="1" customWidth="1"/>
    <col min="3" max="3" width="16.5703125" bestFit="1" customWidth="1"/>
    <col min="4" max="4" width="10.42578125" bestFit="1" customWidth="1"/>
    <col min="5" max="5" width="8.7109375" bestFit="1" customWidth="1"/>
    <col min="6" max="6" width="14.42578125" bestFit="1" customWidth="1"/>
    <col min="7" max="7" width="5.85546875" bestFit="1" customWidth="1"/>
    <col min="8" max="8" width="12.28515625" bestFit="1" customWidth="1"/>
    <col min="9" max="9" width="4.28515625" bestFit="1" customWidth="1"/>
    <col min="10" max="10" width="2.85546875" customWidth="1"/>
    <col min="11" max="11" width="10.28515625" bestFit="1" customWidth="1"/>
    <col min="12" max="12" width="9.7109375" bestFit="1" customWidth="1"/>
    <col min="13" max="13" width="7.140625" bestFit="1" customWidth="1"/>
    <col min="14" max="14" width="6.42578125" bestFit="1" customWidth="1"/>
    <col min="15" max="15" width="5.85546875" bestFit="1" customWidth="1"/>
    <col min="16" max="16" width="6.7109375" bestFit="1" customWidth="1"/>
    <col min="17" max="17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25">
      <c r="A2">
        <v>1</v>
      </c>
      <c r="B2" t="s">
        <v>90</v>
      </c>
      <c r="C2" t="s">
        <v>89</v>
      </c>
      <c r="D2" t="s">
        <v>7</v>
      </c>
      <c r="E2" t="s">
        <v>8</v>
      </c>
    </row>
    <row r="3" spans="1:6" x14ac:dyDescent="0.25">
      <c r="A3">
        <v>2</v>
      </c>
      <c r="B3" t="s">
        <v>91</v>
      </c>
      <c r="C3" t="s">
        <v>94</v>
      </c>
      <c r="D3" t="s">
        <v>9</v>
      </c>
      <c r="E3" t="s">
        <v>10</v>
      </c>
    </row>
    <row r="4" spans="1:6" x14ac:dyDescent="0.25">
      <c r="A4">
        <v>3</v>
      </c>
      <c r="B4" t="s">
        <v>92</v>
      </c>
      <c r="C4" t="s">
        <v>93</v>
      </c>
      <c r="D4" t="s">
        <v>20</v>
      </c>
      <c r="E4" t="s">
        <v>8</v>
      </c>
      <c r="F4" s="10"/>
    </row>
    <row r="5" spans="1:6" x14ac:dyDescent="0.25">
      <c r="A5">
        <v>4</v>
      </c>
      <c r="B5" s="20" t="s">
        <v>67</v>
      </c>
      <c r="C5" t="s">
        <v>95</v>
      </c>
      <c r="D5" t="s">
        <v>68</v>
      </c>
      <c r="E5" t="s">
        <v>71</v>
      </c>
    </row>
    <row r="6" spans="1:6" x14ac:dyDescent="0.25">
      <c r="A6">
        <v>5</v>
      </c>
      <c r="B6" s="20" t="s">
        <v>97</v>
      </c>
      <c r="C6" t="s">
        <v>96</v>
      </c>
      <c r="D6" t="s">
        <v>69</v>
      </c>
      <c r="E6" t="s">
        <v>71</v>
      </c>
    </row>
  </sheetData>
  <phoneticPr fontId="7" type="noConversion"/>
  <hyperlinks>
    <hyperlink ref="B5" r:id="rId1" display="https://www.cuitonline.com/detalle/27452414711/osses-shakira-alejandra.html" xr:uid="{F2232659-C17D-4204-940D-345947882C0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V6"/>
  <sheetViews>
    <sheetView zoomScale="175" zoomScaleNormal="175" workbookViewId="0">
      <selection activeCell="A2" sqref="A2"/>
    </sheetView>
  </sheetViews>
  <sheetFormatPr baseColWidth="10" defaultRowHeight="15" x14ac:dyDescent="0.25"/>
  <cols>
    <col min="1" max="1" width="22.85546875" bestFit="1" customWidth="1"/>
    <col min="2" max="2" width="10.5703125" bestFit="1" customWidth="1"/>
    <col min="3" max="3" width="17" bestFit="1" customWidth="1"/>
    <col min="4" max="4" width="11.7109375" customWidth="1"/>
    <col min="5" max="5" width="7.42578125" hidden="1" customWidth="1"/>
    <col min="6" max="6" width="7.7109375" bestFit="1" customWidth="1"/>
    <col min="8" max="8" width="4.28515625" bestFit="1" customWidth="1"/>
    <col min="9" max="9" width="12.28515625" bestFit="1" customWidth="1"/>
    <col min="10" max="10" width="4.28515625" bestFit="1" customWidth="1"/>
    <col min="11" max="11" width="7" bestFit="1" customWidth="1"/>
    <col min="12" max="12" width="4.42578125" bestFit="1" customWidth="1"/>
    <col min="13" max="13" width="11.5703125" customWidth="1"/>
  </cols>
  <sheetData>
    <row r="1" spans="1:22" x14ac:dyDescent="0.25">
      <c r="A1" t="s">
        <v>85</v>
      </c>
      <c r="B1" t="s">
        <v>1</v>
      </c>
      <c r="C1" t="s">
        <v>2</v>
      </c>
      <c r="D1" t="s">
        <v>78</v>
      </c>
      <c r="E1" t="s">
        <v>77</v>
      </c>
      <c r="F1" t="s">
        <v>4</v>
      </c>
      <c r="G1" s="4" t="s">
        <v>6</v>
      </c>
      <c r="H1" s="4" t="s">
        <v>83</v>
      </c>
      <c r="I1" s="4" t="s">
        <v>84</v>
      </c>
      <c r="J1" s="5" t="s">
        <v>82</v>
      </c>
      <c r="K1" s="25" t="s">
        <v>86</v>
      </c>
      <c r="L1" s="25" t="s">
        <v>70</v>
      </c>
      <c r="M1" s="25" t="s">
        <v>88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79</v>
      </c>
      <c r="U1" t="s">
        <v>80</v>
      </c>
      <c r="V1" t="s">
        <v>81</v>
      </c>
    </row>
    <row r="2" spans="1:22" x14ac:dyDescent="0.25">
      <c r="A2" t="str">
        <f>TRIM(presentismo[[#This Row],[Empleado]])</f>
        <v>racedo ; cristian Damian</v>
      </c>
      <c r="B2" t="str">
        <f>LEFT(datos[[#This Row],[empleado]],datos[[#This Row],[p]] - 1)</f>
        <v xml:space="preserve">racedo </v>
      </c>
      <c r="C2" t="str">
        <f>RIGHT(datos[[#This Row],[empleado]],datos[[#This Row],[largo]] - datos[[#This Row],[p]] - 1)</f>
        <v>cristian Damian</v>
      </c>
      <c r="D2" s="1">
        <v>33346</v>
      </c>
      <c r="E2" s="23" cm="1">
        <f t="array" aca="1" ref="E2" ca="1">tiempo[AÑO]-YEAR(datos[[#This Row],[nacimiento]])</f>
        <v>31</v>
      </c>
      <c r="F2" s="24">
        <f ca="1">(hoy-datos[[#This Row],[nacimiento]])/365</f>
        <v>31.646575342465752</v>
      </c>
      <c r="G2" s="6" t="s">
        <v>12</v>
      </c>
      <c r="H2" s="6" t="str">
        <f>LEFT(datos[[#This Row],[cuil]],2)</f>
        <v>20</v>
      </c>
      <c r="I2" s="6" t="str">
        <f>MID(datos[[#This Row],[cuil]],4,8)</f>
        <v>35336446</v>
      </c>
      <c r="J2" s="7" t="str">
        <f>RIGHT(datos[[#This Row],[cuil]],1)</f>
        <v>5</v>
      </c>
      <c r="K2" s="26" t="s">
        <v>87</v>
      </c>
      <c r="L2" s="26">
        <f>FIND(datos[[#This Row],[char]],datos[[#This Row],[empleado]])</f>
        <v>8</v>
      </c>
      <c r="M2" s="26">
        <f>LEN(datos[[#This Row],[empleado]])</f>
        <v>24</v>
      </c>
      <c r="O2" s="1">
        <f ca="1">TODAY()</f>
        <v>44897</v>
      </c>
      <c r="P2" s="22">
        <f ca="1">NOW()</f>
        <v>44897.545370138891</v>
      </c>
      <c r="Q2">
        <f ca="1">YEAR(hoy)</f>
        <v>2022</v>
      </c>
      <c r="R2">
        <f ca="1">MONTH(hoy)</f>
        <v>12</v>
      </c>
      <c r="S2">
        <f ca="1">DAY(hoy)</f>
        <v>2</v>
      </c>
      <c r="T2">
        <f ca="1">HOUR(ahora)</f>
        <v>13</v>
      </c>
      <c r="U2">
        <f ca="1">MINUTE(ahora)</f>
        <v>5</v>
      </c>
      <c r="V2">
        <f ca="1">SECOND(ahora)</f>
        <v>20</v>
      </c>
    </row>
    <row r="3" spans="1:22" x14ac:dyDescent="0.25">
      <c r="A3" t="str">
        <f>TRIM(presentismo[[#This Row],[Empleado]])</f>
        <v>racedo; Abel Alejandro</v>
      </c>
      <c r="B3" t="str">
        <f>LEFT(datos[[#This Row],[empleado]],datos[[#This Row],[p]] - 1)</f>
        <v>racedo</v>
      </c>
      <c r="C3" t="str">
        <f>RIGHT(datos[[#This Row],[empleado]],datos[[#This Row],[largo]] - datos[[#This Row],[p]] - 1)</f>
        <v>Abel Alejandro</v>
      </c>
      <c r="D3" s="1">
        <v>34254</v>
      </c>
      <c r="E3" s="23" cm="1">
        <f t="array" aca="1" ref="E3" ca="1">tiempo[AÑO]-YEAR(datos[[#This Row],[nacimiento]])</f>
        <v>29</v>
      </c>
      <c r="F3" s="24">
        <f ca="1">(hoy-datos[[#This Row],[nacimiento]])/365</f>
        <v>29.158904109589042</v>
      </c>
      <c r="G3" s="8" t="s">
        <v>11</v>
      </c>
      <c r="H3" s="8" t="str">
        <f>LEFT(datos[[#This Row],[cuil]],2)</f>
        <v>20</v>
      </c>
      <c r="I3" s="8" t="str">
        <f>MID(datos[[#This Row],[cuil]],4,8)</f>
        <v>38558443</v>
      </c>
      <c r="J3" s="9" t="str">
        <f>RIGHT(datos[[#This Row],[cuil]],1)</f>
        <v>6</v>
      </c>
      <c r="K3" s="27" t="s">
        <v>87</v>
      </c>
      <c r="L3" s="27">
        <f>FIND(datos[[#This Row],[char]],datos[[#This Row],[empleado]])</f>
        <v>7</v>
      </c>
      <c r="M3" s="27">
        <f>LEN(datos[[#This Row],[empleado]])</f>
        <v>22</v>
      </c>
    </row>
    <row r="4" spans="1:22" x14ac:dyDescent="0.25">
      <c r="A4" t="str">
        <f>TRIM(presentismo[[#This Row],[Empleado]])</f>
        <v>Aguilera; Cristina</v>
      </c>
      <c r="B4" t="str">
        <f>LEFT(datos[[#This Row],[empleado]],datos[[#This Row],[p]] - 1)</f>
        <v>Aguilera</v>
      </c>
      <c r="C4" t="str">
        <f>RIGHT(datos[[#This Row],[empleado]],datos[[#This Row],[largo]] - datos[[#This Row],[p]] - 1)</f>
        <v>Cristina</v>
      </c>
      <c r="D4" s="1">
        <v>29573</v>
      </c>
      <c r="E4" s="23" cm="1">
        <f t="array" aca="1" ref="E4" ca="1">tiempo[AÑO]-YEAR(datos[[#This Row],[nacimiento]])</f>
        <v>42</v>
      </c>
      <c r="F4" s="24">
        <f ca="1">(hoy-datos[[#This Row],[nacimiento]])/365</f>
        <v>41.983561643835614</v>
      </c>
      <c r="G4" s="6" t="s">
        <v>21</v>
      </c>
      <c r="H4" s="6" t="str">
        <f>LEFT(datos[[#This Row],[cuil]],2)</f>
        <v>27</v>
      </c>
      <c r="I4" s="6" t="str">
        <f>MID(datos[[#This Row],[cuil]],4,8)</f>
        <v>14093915</v>
      </c>
      <c r="J4" s="7" t="str">
        <f>RIGHT(datos[[#This Row],[cuil]],1)</f>
        <v>9</v>
      </c>
      <c r="K4" s="26" t="s">
        <v>87</v>
      </c>
      <c r="L4" s="26">
        <f>FIND(datos[[#This Row],[char]],datos[[#This Row],[empleado]])</f>
        <v>9</v>
      </c>
      <c r="M4" s="26">
        <f>LEN(datos[[#This Row],[empleado]])</f>
        <v>18</v>
      </c>
    </row>
    <row r="5" spans="1:22" x14ac:dyDescent="0.25">
      <c r="A5" t="str">
        <f>TRIM(presentismo[[#This Row],[Empleado]])</f>
        <v>Osses; Shakira Alejandra</v>
      </c>
      <c r="B5" t="str">
        <f>LEFT(datos[[#This Row],[empleado]],datos[[#This Row],[p]] - 1)</f>
        <v>Osses</v>
      </c>
      <c r="C5" t="str">
        <f>RIGHT(datos[[#This Row],[empleado]],datos[[#This Row],[largo]] - datos[[#This Row],[p]] - 1)</f>
        <v>Shakira Alejandra</v>
      </c>
      <c r="D5" s="1">
        <v>28158</v>
      </c>
      <c r="E5" s="23" cm="1">
        <f t="array" aca="1" ref="E5" ca="1">tiempo[AÑO]-YEAR(datos[[#This Row],[nacimiento]])</f>
        <v>45</v>
      </c>
      <c r="F5" s="24">
        <f ca="1">(hoy-datos[[#This Row],[nacimiento]])/365</f>
        <v>45.860273972602741</v>
      </c>
      <c r="G5" s="8" t="s">
        <v>65</v>
      </c>
      <c r="H5" s="8" t="str">
        <f>LEFT(datos[[#This Row],[cuil]],2)</f>
        <v>27</v>
      </c>
      <c r="I5" s="8" t="str">
        <f>MID(datos[[#This Row],[cuil]],4,8)</f>
        <v>45241471</v>
      </c>
      <c r="J5" s="9" t="str">
        <f>RIGHT(datos[[#This Row],[cuil]],1)</f>
        <v>1</v>
      </c>
      <c r="K5" s="27" t="s">
        <v>87</v>
      </c>
      <c r="L5" s="27">
        <f>FIND(datos[[#This Row],[char]],datos[[#This Row],[empleado]])</f>
        <v>6</v>
      </c>
      <c r="M5" s="27">
        <f>LEN(datos[[#This Row],[empleado]])</f>
        <v>24</v>
      </c>
    </row>
    <row r="6" spans="1:22" x14ac:dyDescent="0.25">
      <c r="A6" t="str">
        <f>TRIM(presentismo[[#This Row],[Empleado]])</f>
        <v>Messi ; Lionel Andres</v>
      </c>
      <c r="B6" t="str">
        <f>LEFT(datos[[#This Row],[empleado]],datos[[#This Row],[p]] - 1)</f>
        <v xml:space="preserve">Messi </v>
      </c>
      <c r="C6" t="str">
        <f>RIGHT(datos[[#This Row],[empleado]],datos[[#This Row],[largo]] - datos[[#This Row],[p]] - 1)</f>
        <v>Lionel Andres</v>
      </c>
      <c r="D6" s="1">
        <v>31952</v>
      </c>
      <c r="E6" s="23" cm="1">
        <f t="array" aca="1" ref="E6" ca="1">tiempo[AÑO]-YEAR(datos[[#This Row],[nacimiento]])</f>
        <v>35</v>
      </c>
      <c r="F6" s="24">
        <f ca="1">(hoy-datos[[#This Row],[nacimiento]])/365</f>
        <v>35.465753424657535</v>
      </c>
      <c r="G6" s="6" t="s">
        <v>66</v>
      </c>
      <c r="H6" s="6" t="str">
        <f>LEFT(datos[[#This Row],[cuil]],2)</f>
        <v>23</v>
      </c>
      <c r="I6" s="6" t="str">
        <f>MID(datos[[#This Row],[cuil]],4,8)</f>
        <v>33016244</v>
      </c>
      <c r="J6" s="7" t="str">
        <f>RIGHT(datos[[#This Row],[cuil]],1)</f>
        <v>9</v>
      </c>
      <c r="K6" s="26" t="s">
        <v>87</v>
      </c>
      <c r="L6" s="26">
        <f>FIND(datos[[#This Row],[char]],datos[[#This Row],[empleado]])</f>
        <v>7</v>
      </c>
      <c r="M6" s="26">
        <f>LEN(datos[[#This Row],[empleado]])</f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K31"/>
  <sheetViews>
    <sheetView zoomScale="145" zoomScaleNormal="145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2.85546875" style="11" bestFit="1" customWidth="1"/>
    <col min="2" max="6" width="3.7109375" style="11" bestFit="1" customWidth="1"/>
    <col min="7" max="7" width="3.7109375" style="16" bestFit="1" customWidth="1"/>
    <col min="8" max="13" width="3.7109375" style="11" bestFit="1" customWidth="1"/>
    <col min="14" max="14" width="3.7109375" style="16" bestFit="1" customWidth="1"/>
    <col min="15" max="20" width="3.7109375" style="11" bestFit="1" customWidth="1"/>
    <col min="21" max="21" width="3.7109375" style="16" bestFit="1" customWidth="1"/>
    <col min="22" max="27" width="3.7109375" style="11" bestFit="1" customWidth="1"/>
    <col min="28" max="28" width="3.7109375" style="16" bestFit="1" customWidth="1"/>
    <col min="29" max="30" width="3.7109375" style="11" bestFit="1" customWidth="1"/>
    <col min="31" max="31" width="4.42578125" style="11" customWidth="1"/>
    <col min="32" max="32" width="8.28515625" style="11" bestFit="1" customWidth="1"/>
    <col min="33" max="33" width="8.28515625" bestFit="1" customWidth="1"/>
  </cols>
  <sheetData>
    <row r="1" spans="1:37" ht="45.75" x14ac:dyDescent="0.25">
      <c r="A1" s="11" t="s">
        <v>22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3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M1" s="12" t="s">
        <v>35</v>
      </c>
      <c r="N1" s="13" t="s">
        <v>36</v>
      </c>
      <c r="O1" s="12" t="s">
        <v>37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3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2" t="s">
        <v>48</v>
      </c>
      <c r="AA1" s="12" t="s">
        <v>49</v>
      </c>
      <c r="AB1" s="13" t="s">
        <v>50</v>
      </c>
      <c r="AC1" s="12" t="s">
        <v>51</v>
      </c>
      <c r="AD1" s="12" t="s">
        <v>52</v>
      </c>
      <c r="AE1" s="12" t="s">
        <v>53</v>
      </c>
      <c r="AF1" s="12" t="s">
        <v>54</v>
      </c>
      <c r="AG1" s="12" t="s">
        <v>55</v>
      </c>
      <c r="AI1" t="s">
        <v>56</v>
      </c>
      <c r="AJ1" t="s">
        <v>58</v>
      </c>
      <c r="AK1" t="s">
        <v>57</v>
      </c>
    </row>
    <row r="2" spans="1:37" x14ac:dyDescent="0.25">
      <c r="A2" s="17" t="str">
        <f>_xlfn.CONCAT(empleados[[#This Row],[apellido]]&amp;"; "&amp;empleados[[#This Row],[nombre]])</f>
        <v>racedo    ; cristian Damian</v>
      </c>
      <c r="B2" s="14" t="s">
        <v>23</v>
      </c>
      <c r="C2" s="14"/>
      <c r="D2" s="14"/>
      <c r="E2" s="14" t="s">
        <v>23</v>
      </c>
      <c r="F2" s="14" t="s">
        <v>23</v>
      </c>
      <c r="G2" s="15"/>
      <c r="H2" s="14" t="s">
        <v>23</v>
      </c>
      <c r="I2" s="14"/>
      <c r="J2" s="14" t="s">
        <v>23</v>
      </c>
      <c r="K2" s="14"/>
      <c r="L2" s="14" t="s">
        <v>23</v>
      </c>
      <c r="M2" s="14" t="s">
        <v>23</v>
      </c>
      <c r="N2" s="15"/>
      <c r="O2" s="14" t="s">
        <v>23</v>
      </c>
      <c r="P2" s="14"/>
      <c r="Q2" s="14" t="s">
        <v>23</v>
      </c>
      <c r="R2" s="14"/>
      <c r="S2" s="14" t="s">
        <v>23</v>
      </c>
      <c r="T2" s="14" t="s">
        <v>23</v>
      </c>
      <c r="U2" s="15"/>
      <c r="V2" s="14"/>
      <c r="W2" s="14" t="s">
        <v>23</v>
      </c>
      <c r="X2" s="14" t="s">
        <v>23</v>
      </c>
      <c r="Y2" s="14" t="s">
        <v>23</v>
      </c>
      <c r="Z2" s="14" t="s">
        <v>23</v>
      </c>
      <c r="AA2" s="14" t="s">
        <v>23</v>
      </c>
      <c r="AB2" s="15"/>
      <c r="AC2" s="14" t="s">
        <v>23</v>
      </c>
      <c r="AD2" s="14" t="s">
        <v>23</v>
      </c>
      <c r="AE2" s="14" t="s">
        <v>23</v>
      </c>
      <c r="AF2" s="18">
        <f>COUNTA(B2:AE2)</f>
        <v>19</v>
      </c>
      <c r="AG2" s="18">
        <f>COUNTBLANK(B2:AE2)</f>
        <v>11</v>
      </c>
      <c r="AI2" t="s">
        <v>64</v>
      </c>
      <c r="AJ2">
        <f>SUM(presentismo[ASIST])</f>
        <v>88</v>
      </c>
      <c r="AK2">
        <f>SUM(presentismo[AUS])</f>
        <v>62</v>
      </c>
    </row>
    <row r="3" spans="1:37" x14ac:dyDescent="0.25">
      <c r="A3" s="17" t="str">
        <f>_xlfn.CONCAT(empleados[[#This Row],[apellido]]&amp;"; "&amp;empleados[[#This Row],[nombre]])</f>
        <v xml:space="preserve">    racedo; Abel      Alejandro</v>
      </c>
      <c r="B3" s="14"/>
      <c r="C3" s="11" t="s">
        <v>23</v>
      </c>
      <c r="E3" s="11" t="s">
        <v>23</v>
      </c>
      <c r="I3" s="11" t="s">
        <v>23</v>
      </c>
      <c r="J3" s="11" t="s">
        <v>23</v>
      </c>
      <c r="K3" s="11" t="s">
        <v>23</v>
      </c>
      <c r="L3" s="14" t="s">
        <v>23</v>
      </c>
      <c r="M3" s="14"/>
      <c r="N3" s="14"/>
      <c r="O3" s="14" t="s">
        <v>23</v>
      </c>
      <c r="P3" s="14"/>
      <c r="Q3" s="14" t="s">
        <v>23</v>
      </c>
      <c r="R3" s="14" t="s">
        <v>23</v>
      </c>
      <c r="S3" s="11" t="s">
        <v>23</v>
      </c>
      <c r="V3" s="11" t="s">
        <v>23</v>
      </c>
      <c r="W3" s="11" t="s">
        <v>23</v>
      </c>
      <c r="X3" s="11" t="s">
        <v>23</v>
      </c>
      <c r="Y3" s="11" t="s">
        <v>23</v>
      </c>
      <c r="Z3" s="11" t="s">
        <v>23</v>
      </c>
      <c r="AC3" s="11" t="s">
        <v>23</v>
      </c>
      <c r="AF3" s="18">
        <f t="shared" ref="AF3:AF4" si="0">COUNTA(B3:AE3)</f>
        <v>16</v>
      </c>
      <c r="AG3" s="18">
        <f t="shared" ref="AG3:AG4" si="1">COUNTBLANK(B3:AE3)</f>
        <v>14</v>
      </c>
      <c r="AI3" t="s">
        <v>59</v>
      </c>
      <c r="AJ3">
        <f>MAX(presentismo[ASIST])</f>
        <v>19</v>
      </c>
      <c r="AK3">
        <f>MAX(presentismo[AUS])</f>
        <v>14</v>
      </c>
    </row>
    <row r="4" spans="1:37" x14ac:dyDescent="0.25">
      <c r="A4" s="17" t="str">
        <f>_xlfn.CONCAT(empleados[[#This Row],[apellido]]&amp;"; "&amp;empleados[[#This Row],[nombre]])</f>
        <v xml:space="preserve">   Aguilera; Cristina     </v>
      </c>
      <c r="B4" s="14"/>
      <c r="C4" s="11" t="s">
        <v>23</v>
      </c>
      <c r="D4" s="11" t="s">
        <v>23</v>
      </c>
      <c r="E4" s="11" t="s">
        <v>23</v>
      </c>
      <c r="F4" s="11" t="s">
        <v>23</v>
      </c>
      <c r="H4" s="11" t="s">
        <v>23</v>
      </c>
      <c r="J4" s="11" t="s">
        <v>23</v>
      </c>
      <c r="M4" s="11" t="s">
        <v>23</v>
      </c>
      <c r="N4" s="11"/>
      <c r="O4" s="11" t="s">
        <v>23</v>
      </c>
      <c r="P4" s="11" t="s">
        <v>23</v>
      </c>
      <c r="R4" s="11" t="s">
        <v>23</v>
      </c>
      <c r="S4" s="11" t="s">
        <v>23</v>
      </c>
      <c r="T4" s="11" t="s">
        <v>23</v>
      </c>
      <c r="V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D4" s="11" t="s">
        <v>23</v>
      </c>
      <c r="AE4" s="11" t="s">
        <v>23</v>
      </c>
      <c r="AF4" s="18">
        <f t="shared" si="0"/>
        <v>19</v>
      </c>
      <c r="AG4" s="18">
        <f t="shared" si="1"/>
        <v>11</v>
      </c>
      <c r="AI4" t="s">
        <v>60</v>
      </c>
      <c r="AJ4">
        <f>MIN(presentismo[ASIST])</f>
        <v>16</v>
      </c>
      <c r="AK4">
        <f>MIN(presentismo[AUS])</f>
        <v>11</v>
      </c>
    </row>
    <row r="5" spans="1:37" x14ac:dyDescent="0.25">
      <c r="A5" s="17" t="str">
        <f>_xlfn.CONCAT(empleados[[#This Row],[apellido]]&amp;"; "&amp;empleados[[#This Row],[nombre]])</f>
        <v>Osses; Shakira      Alejandra</v>
      </c>
      <c r="B5" s="11" t="s">
        <v>23</v>
      </c>
      <c r="D5" s="11" t="s">
        <v>23</v>
      </c>
      <c r="F5" s="21" t="s">
        <v>70</v>
      </c>
      <c r="G5" s="11"/>
      <c r="H5" s="11" t="s">
        <v>23</v>
      </c>
      <c r="I5" s="11" t="s">
        <v>23</v>
      </c>
      <c r="J5" s="11" t="s">
        <v>23</v>
      </c>
      <c r="L5" s="11" t="s">
        <v>23</v>
      </c>
      <c r="N5" s="11"/>
      <c r="O5" s="11" t="s">
        <v>23</v>
      </c>
      <c r="Q5" s="11" t="s">
        <v>23</v>
      </c>
      <c r="S5" s="11" t="s">
        <v>70</v>
      </c>
      <c r="T5" s="14"/>
      <c r="U5" s="14"/>
      <c r="V5" s="14" t="s">
        <v>23</v>
      </c>
      <c r="W5" s="14" t="s">
        <v>23</v>
      </c>
      <c r="X5" s="14" t="s">
        <v>23</v>
      </c>
      <c r="AA5" s="11" t="s">
        <v>70</v>
      </c>
      <c r="AD5" s="11" t="s">
        <v>70</v>
      </c>
      <c r="AE5" s="11" t="s">
        <v>70</v>
      </c>
      <c r="AF5" s="18">
        <f t="shared" ref="AF5:AF6" si="2">COUNTA(B5:AE5)</f>
        <v>16</v>
      </c>
      <c r="AG5" s="18">
        <f t="shared" ref="AG5" si="3">COUNTBLANK(B5:AE5)</f>
        <v>14</v>
      </c>
      <c r="AI5" t="s">
        <v>61</v>
      </c>
      <c r="AJ5" s="19">
        <f>AVERAGE(presentismo[ASIST])</f>
        <v>17.600000000000001</v>
      </c>
      <c r="AK5" s="19">
        <f>AVERAGE(presentismo[AUS])</f>
        <v>12.4</v>
      </c>
    </row>
    <row r="6" spans="1:37" x14ac:dyDescent="0.25">
      <c r="A6" s="17" t="str">
        <f>_xlfn.CONCAT(empleados[[#This Row],[apellido]]&amp;"; "&amp;empleados[[#This Row],[nombre]])</f>
        <v xml:space="preserve">Messi    ; Lionel      Andres </v>
      </c>
      <c r="B6" s="11" t="s">
        <v>23</v>
      </c>
      <c r="C6" s="11" t="s">
        <v>23</v>
      </c>
      <c r="D6" s="11" t="s">
        <v>23</v>
      </c>
      <c r="E6" s="11" t="s">
        <v>23</v>
      </c>
      <c r="F6" s="16"/>
      <c r="G6" s="11"/>
      <c r="I6" s="11" t="s">
        <v>23</v>
      </c>
      <c r="K6" s="11" t="s">
        <v>23</v>
      </c>
      <c r="L6" s="11" t="s">
        <v>23</v>
      </c>
      <c r="M6" s="11" t="s">
        <v>23</v>
      </c>
      <c r="N6" s="11"/>
      <c r="O6" s="11" t="s">
        <v>23</v>
      </c>
      <c r="R6" s="11" t="s">
        <v>70</v>
      </c>
      <c r="T6" s="11" t="s">
        <v>23</v>
      </c>
      <c r="U6" s="11"/>
      <c r="V6" s="11" t="s">
        <v>23</v>
      </c>
      <c r="W6" s="11" t="s">
        <v>23</v>
      </c>
      <c r="X6" s="11" t="s">
        <v>23</v>
      </c>
      <c r="Z6" s="11" t="s">
        <v>70</v>
      </c>
      <c r="AA6" s="11" t="s">
        <v>70</v>
      </c>
      <c r="AC6" s="11" t="s">
        <v>70</v>
      </c>
      <c r="AD6" s="11" t="s">
        <v>70</v>
      </c>
      <c r="AF6" s="18">
        <f t="shared" si="2"/>
        <v>18</v>
      </c>
      <c r="AG6" s="18">
        <f>COUNTBLANK(B6:AE6)</f>
        <v>12</v>
      </c>
      <c r="AI6" t="s">
        <v>62</v>
      </c>
      <c r="AJ6">
        <f>MEDIAN(presentismo[ASIST])</f>
        <v>18</v>
      </c>
      <c r="AK6">
        <f>MEDIAN(presentismo[AUS])</f>
        <v>12</v>
      </c>
    </row>
    <row r="7" spans="1:37" x14ac:dyDescent="0.25">
      <c r="B7" s="14"/>
      <c r="AI7" t="s">
        <v>63</v>
      </c>
      <c r="AJ7">
        <f>MODE(presentismo[ASIST])</f>
        <v>19</v>
      </c>
      <c r="AK7">
        <f>MODE(presentismo[AUS])</f>
        <v>11</v>
      </c>
    </row>
    <row r="8" spans="1:37" x14ac:dyDescent="0.25">
      <c r="B8" s="14"/>
    </row>
    <row r="9" spans="1:37" x14ac:dyDescent="0.25">
      <c r="B9" s="14"/>
    </row>
    <row r="10" spans="1:37" x14ac:dyDescent="0.25">
      <c r="B10" s="14"/>
    </row>
    <row r="11" spans="1:37" x14ac:dyDescent="0.25">
      <c r="B11" s="14"/>
    </row>
    <row r="12" spans="1:37" x14ac:dyDescent="0.25">
      <c r="B12" s="14"/>
    </row>
    <row r="13" spans="1:37" x14ac:dyDescent="0.25">
      <c r="B13" s="14"/>
    </row>
    <row r="14" spans="1:37" x14ac:dyDescent="0.25">
      <c r="B14" s="14"/>
    </row>
    <row r="15" spans="1:37" x14ac:dyDescent="0.25">
      <c r="B15" s="14"/>
    </row>
    <row r="16" spans="1:37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J11"/>
  <sheetViews>
    <sheetView zoomScale="130" zoomScaleNormal="130" workbookViewId="0">
      <selection activeCell="C2" sqref="C2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9" bestFit="1" customWidth="1"/>
    <col min="4" max="4" width="4.7109375" bestFit="1" customWidth="1"/>
    <col min="5" max="7" width="12.7109375" style="3" bestFit="1" customWidth="1"/>
    <col min="8" max="8" width="13.7109375" style="3" bestFit="1" customWidth="1"/>
  </cols>
  <sheetData>
    <row r="1" spans="1:10" x14ac:dyDescent="0.25">
      <c r="A1" t="s">
        <v>0</v>
      </c>
      <c r="B1" t="s">
        <v>16</v>
      </c>
      <c r="C1" t="s">
        <v>13</v>
      </c>
      <c r="D1" t="s">
        <v>19</v>
      </c>
      <c r="E1" s="3" t="s">
        <v>14</v>
      </c>
      <c r="F1" s="3" t="s">
        <v>15</v>
      </c>
      <c r="G1" s="3" t="s">
        <v>17</v>
      </c>
      <c r="H1" s="3" t="s">
        <v>18</v>
      </c>
      <c r="J1" t="s">
        <v>17</v>
      </c>
    </row>
    <row r="2" spans="1:10" x14ac:dyDescent="0.25">
      <c r="A2">
        <v>1</v>
      </c>
      <c r="B2">
        <v>1</v>
      </c>
      <c r="C2">
        <v>5</v>
      </c>
      <c r="D2">
        <v>2</v>
      </c>
      <c r="E2" s="3">
        <v>15000</v>
      </c>
      <c r="F2" s="3">
        <f t="shared" ref="F2:F11" si="0">cant*precio</f>
        <v>30000</v>
      </c>
      <c r="G2" s="3">
        <f t="shared" ref="G2:G11" si="1">total*iva</f>
        <v>6300</v>
      </c>
      <c r="H2" s="3">
        <f t="shared" ref="H2:H11" si="2">total +precio_iva</f>
        <v>36300</v>
      </c>
      <c r="J2" s="2">
        <v>0.21</v>
      </c>
    </row>
    <row r="3" spans="1:10" x14ac:dyDescent="0.25">
      <c r="A3">
        <v>2</v>
      </c>
      <c r="B3">
        <v>1</v>
      </c>
      <c r="C3">
        <v>1</v>
      </c>
      <c r="D3">
        <v>4</v>
      </c>
      <c r="E3" s="3">
        <v>5400</v>
      </c>
      <c r="F3" s="3">
        <f t="shared" si="0"/>
        <v>21600</v>
      </c>
      <c r="G3" s="3">
        <f t="shared" si="1"/>
        <v>4536</v>
      </c>
      <c r="H3" s="3">
        <f t="shared" si="2"/>
        <v>26136</v>
      </c>
    </row>
    <row r="4" spans="1:10" x14ac:dyDescent="0.25">
      <c r="A4">
        <v>3</v>
      </c>
      <c r="B4">
        <v>2</v>
      </c>
      <c r="C4">
        <v>2</v>
      </c>
      <c r="D4">
        <v>3</v>
      </c>
      <c r="E4" s="3">
        <v>3800</v>
      </c>
      <c r="F4" s="3">
        <f t="shared" si="0"/>
        <v>11400</v>
      </c>
      <c r="G4" s="3">
        <f t="shared" si="1"/>
        <v>2394</v>
      </c>
      <c r="H4" s="3">
        <f t="shared" si="2"/>
        <v>13794</v>
      </c>
    </row>
    <row r="5" spans="1:10" x14ac:dyDescent="0.25">
      <c r="A5">
        <v>4</v>
      </c>
      <c r="B5">
        <v>2</v>
      </c>
      <c r="C5">
        <v>3</v>
      </c>
      <c r="D5">
        <v>1</v>
      </c>
      <c r="E5" s="3">
        <v>600</v>
      </c>
      <c r="F5" s="3">
        <f t="shared" si="0"/>
        <v>600</v>
      </c>
      <c r="G5" s="3">
        <f t="shared" si="1"/>
        <v>126</v>
      </c>
      <c r="H5" s="3">
        <f t="shared" si="2"/>
        <v>726</v>
      </c>
    </row>
    <row r="6" spans="1:10" x14ac:dyDescent="0.25">
      <c r="A6">
        <v>5</v>
      </c>
      <c r="B6">
        <v>1</v>
      </c>
      <c r="C6">
        <v>4</v>
      </c>
      <c r="D6">
        <v>6</v>
      </c>
      <c r="E6" s="3">
        <v>8800</v>
      </c>
      <c r="F6" s="3">
        <f t="shared" si="0"/>
        <v>52800</v>
      </c>
      <c r="G6" s="3">
        <f t="shared" si="1"/>
        <v>11088</v>
      </c>
      <c r="H6" s="3">
        <f t="shared" si="2"/>
        <v>63888</v>
      </c>
    </row>
    <row r="7" spans="1:10" x14ac:dyDescent="0.25">
      <c r="A7">
        <v>6</v>
      </c>
      <c r="B7">
        <v>2</v>
      </c>
      <c r="C7">
        <v>4</v>
      </c>
      <c r="D7">
        <v>10</v>
      </c>
      <c r="E7" s="3">
        <v>8800</v>
      </c>
      <c r="F7" s="3">
        <f t="shared" si="0"/>
        <v>88000</v>
      </c>
      <c r="G7" s="3">
        <f t="shared" si="1"/>
        <v>18480</v>
      </c>
      <c r="H7" s="3">
        <f t="shared" si="2"/>
        <v>106480</v>
      </c>
    </row>
    <row r="8" spans="1:10" x14ac:dyDescent="0.25">
      <c r="A8">
        <v>7</v>
      </c>
      <c r="B8">
        <v>1</v>
      </c>
      <c r="C8">
        <v>3</v>
      </c>
      <c r="D8">
        <v>30</v>
      </c>
      <c r="E8" s="3">
        <v>600</v>
      </c>
      <c r="F8" s="3">
        <f t="shared" si="0"/>
        <v>18000</v>
      </c>
      <c r="G8" s="3">
        <f t="shared" si="1"/>
        <v>3780</v>
      </c>
      <c r="H8" s="3">
        <f t="shared" si="2"/>
        <v>21780</v>
      </c>
    </row>
    <row r="9" spans="1:10" x14ac:dyDescent="0.25">
      <c r="A9">
        <v>8</v>
      </c>
      <c r="B9">
        <v>2</v>
      </c>
      <c r="C9">
        <v>2</v>
      </c>
      <c r="D9">
        <v>2</v>
      </c>
      <c r="E9" s="3">
        <v>3800</v>
      </c>
      <c r="F9" s="3">
        <f t="shared" si="0"/>
        <v>7600</v>
      </c>
      <c r="G9" s="3">
        <f t="shared" si="1"/>
        <v>1596</v>
      </c>
      <c r="H9" s="3">
        <f t="shared" si="2"/>
        <v>9196</v>
      </c>
    </row>
    <row r="10" spans="1:10" x14ac:dyDescent="0.25">
      <c r="A10">
        <v>9</v>
      </c>
      <c r="B10">
        <v>1</v>
      </c>
      <c r="C10">
        <v>5</v>
      </c>
      <c r="D10">
        <v>1</v>
      </c>
      <c r="E10" s="3">
        <v>15000</v>
      </c>
      <c r="F10" s="3">
        <f t="shared" si="0"/>
        <v>15000</v>
      </c>
      <c r="G10" s="3">
        <f t="shared" si="1"/>
        <v>3150</v>
      </c>
      <c r="H10" s="3">
        <f t="shared" si="2"/>
        <v>18150</v>
      </c>
    </row>
    <row r="11" spans="1:10" x14ac:dyDescent="0.25">
      <c r="A11">
        <v>10</v>
      </c>
      <c r="B11">
        <v>1</v>
      </c>
      <c r="C11">
        <v>2</v>
      </c>
      <c r="D11">
        <v>2</v>
      </c>
      <c r="E11" s="3">
        <v>3800</v>
      </c>
      <c r="F11" s="3">
        <f t="shared" si="0"/>
        <v>7600</v>
      </c>
      <c r="G11" s="3">
        <f t="shared" si="1"/>
        <v>1596</v>
      </c>
      <c r="H11" s="3">
        <f t="shared" si="2"/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empleados</vt:lpstr>
      <vt:lpstr>datos</vt:lpstr>
      <vt:lpstr>presentismo</vt:lpstr>
      <vt:lpstr>productos</vt:lpstr>
      <vt:lpstr>ventas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2022-12-02T16:05:28Z</dcterms:modified>
</cp:coreProperties>
</file>