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13_ncr:1_{91FE570F-FB0F-4180-8411-12C0321F611C}" xr6:coauthVersionLast="47" xr6:coauthVersionMax="47" xr10:uidLastSave="{00000000-0000-0000-0000-000000000000}"/>
  <bookViews>
    <workbookView xWindow="-120" yWindow="-120" windowWidth="20730" windowHeight="11040" xr2:uid="{141573A4-CDA2-4761-B364-CE062A8F3AE5}"/>
  </bookViews>
  <sheets>
    <sheet name="menu" sheetId="8" r:id="rId1"/>
    <sheet name="introduccion" sheetId="1" r:id="rId2"/>
    <sheet name="listas" sheetId="6" r:id="rId3"/>
    <sheet name="operadores" sheetId="3" r:id="rId4"/>
    <sheet name="empleados" sheetId="7" r:id="rId5"/>
    <sheet name="asistencia" sheetId="5" r:id="rId6"/>
    <sheet name="productos" sheetId="10" r:id="rId7"/>
    <sheet name="ventas" sheetId="4" r:id="rId8"/>
  </sheets>
  <externalReferences>
    <externalReference r:id="rId9"/>
  </externalReferences>
  <definedNames>
    <definedName name="_xlnm.Print_Area" localSheetId="5">asistencia!$A:$AH</definedName>
    <definedName name="asist">asistencia!$AG$2:$AG$11</definedName>
    <definedName name="aus">asistencia!$AF$2:$AF$11</definedName>
    <definedName name="datos_hoy">empleados!$B$4</definedName>
    <definedName name="hoy">empleados!$B$4</definedName>
    <definedName name="iva_ventas">ventas!$L$2</definedName>
    <definedName name="jornada">asistencia!$AP$2</definedName>
    <definedName name="separador">empleados!$B$1</definedName>
    <definedName name="sueldos">Tabla3[sueldo]</definedName>
    <definedName name="valor_hora">asistencia!$AO$2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5" l="1"/>
  <c r="D3" i="7" s="1"/>
  <c r="K3" i="7" s="1"/>
  <c r="E3" i="7" s="1"/>
  <c r="B4" i="7"/>
  <c r="B6" i="7" s="1"/>
  <c r="O2" i="7" s="1"/>
  <c r="B5" i="7"/>
  <c r="B9" i="7" s="1"/>
  <c r="M2" i="7"/>
  <c r="M3" i="7"/>
  <c r="M4" i="7"/>
  <c r="M5" i="7"/>
  <c r="M6" i="7"/>
  <c r="M7" i="7"/>
  <c r="M8" i="7"/>
  <c r="M9" i="7"/>
  <c r="M10" i="7"/>
  <c r="M11" i="7"/>
  <c r="D2" i="7"/>
  <c r="A2" i="5"/>
  <c r="G2" i="7"/>
  <c r="J2" i="7" s="1"/>
  <c r="A4" i="5"/>
  <c r="A5" i="5"/>
  <c r="D5" i="7" s="1"/>
  <c r="L5" i="7" s="1"/>
  <c r="A6" i="5"/>
  <c r="D6" i="7" s="1"/>
  <c r="L6" i="7" s="1"/>
  <c r="A7" i="5"/>
  <c r="D7" i="7" s="1"/>
  <c r="K7" i="7" s="1"/>
  <c r="E7" i="7" s="1"/>
  <c r="A8" i="5"/>
  <c r="A9" i="5"/>
  <c r="D9" i="7" s="1"/>
  <c r="A10" i="5"/>
  <c r="D10" i="7" s="1"/>
  <c r="K10" i="7" s="1"/>
  <c r="A11" i="5"/>
  <c r="D11" i="7" s="1"/>
  <c r="K11" i="7" s="1"/>
  <c r="E11" i="7" s="1"/>
  <c r="G3" i="7"/>
  <c r="J3" i="7" s="1"/>
  <c r="G4" i="7"/>
  <c r="I4" i="7" s="1"/>
  <c r="G5" i="7"/>
  <c r="I5" i="7" s="1"/>
  <c r="G6" i="7"/>
  <c r="J6" i="7" s="1"/>
  <c r="G7" i="7"/>
  <c r="J7" i="7" s="1"/>
  <c r="G8" i="7"/>
  <c r="I8" i="7" s="1"/>
  <c r="G9" i="7"/>
  <c r="I9" i="7" s="1"/>
  <c r="G10" i="7"/>
  <c r="J10" i="7" s="1"/>
  <c r="G11" i="7"/>
  <c r="J11" i="7" s="1"/>
  <c r="D4" i="7"/>
  <c r="L4" i="7" s="1"/>
  <c r="D8" i="7"/>
  <c r="T12" i="5"/>
  <c r="U12" i="5"/>
  <c r="V12" i="5"/>
  <c r="W12" i="5"/>
  <c r="X12" i="5"/>
  <c r="Y12" i="5"/>
  <c r="Z12" i="5"/>
  <c r="AA12" i="5"/>
  <c r="AB12" i="5"/>
  <c r="AC12" i="5"/>
  <c r="AD12" i="5"/>
  <c r="AE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C12" i="5"/>
  <c r="D12" i="5"/>
  <c r="AF4" i="5"/>
  <c r="AF5" i="5"/>
  <c r="AG5" i="5" s="1"/>
  <c r="AH5" i="5" s="1" a="1"/>
  <c r="AH5" i="5" s="1"/>
  <c r="AF6" i="5"/>
  <c r="AG6" i="5" s="1"/>
  <c r="AH6" i="5" s="1" a="1"/>
  <c r="AH6" i="5" s="1"/>
  <c r="AF7" i="5"/>
  <c r="AG7" i="5" s="1"/>
  <c r="AH7" i="5" s="1" a="1"/>
  <c r="AH7" i="5" s="1"/>
  <c r="AF8" i="5"/>
  <c r="AG8" i="5" s="1"/>
  <c r="AH8" i="5" s="1" a="1"/>
  <c r="AH8" i="5" s="1"/>
  <c r="AF9" i="5"/>
  <c r="AG9" i="5" s="1"/>
  <c r="AH9" i="5" s="1" a="1"/>
  <c r="AH9" i="5" s="1"/>
  <c r="AF10" i="5"/>
  <c r="AG10" i="5" s="1"/>
  <c r="AH10" i="5" s="1" a="1"/>
  <c r="AH10" i="5" s="1"/>
  <c r="AF11" i="5"/>
  <c r="AG11" i="5" s="1"/>
  <c r="AH11" i="5" s="1" a="1"/>
  <c r="AH11" i="5" s="1"/>
  <c r="AF3" i="5"/>
  <c r="AG3" i="5" s="1"/>
  <c r="AH3" i="5" s="1" a="1"/>
  <c r="AH3" i="5" s="1"/>
  <c r="AF2" i="5"/>
  <c r="AG2" i="5" s="1"/>
  <c r="B1" i="4"/>
  <c r="G19" i="4"/>
  <c r="H19" i="4" s="1"/>
  <c r="G18" i="4"/>
  <c r="H18" i="4" s="1"/>
  <c r="B6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M3" i="3"/>
  <c r="K6" i="3"/>
  <c r="K7" i="3"/>
  <c r="E7" i="3"/>
  <c r="M7" i="3" a="1"/>
  <c r="M7" i="3" s="1"/>
  <c r="M6" i="3"/>
  <c r="M5" i="3"/>
  <c r="M4" i="3" a="1"/>
  <c r="M4" i="3" s="1"/>
  <c r="K4" i="3"/>
  <c r="K3" i="3"/>
  <c r="J6" i="3"/>
  <c r="J5" i="3"/>
  <c r="K5" i="3" s="1"/>
  <c r="E4" i="3"/>
  <c r="E3" i="3"/>
  <c r="D6" i="3"/>
  <c r="E6" i="3" s="1"/>
  <c r="D5" i="3"/>
  <c r="E5" i="3" s="1"/>
  <c r="O9" i="7" l="1"/>
  <c r="O5" i="7"/>
  <c r="O8" i="7"/>
  <c r="O4" i="7"/>
  <c r="O11" i="7"/>
  <c r="O7" i="7"/>
  <c r="O3" i="7"/>
  <c r="O10" i="7"/>
  <c r="O6" i="7"/>
  <c r="I7" i="7"/>
  <c r="H9" i="7"/>
  <c r="I3" i="7"/>
  <c r="K6" i="7"/>
  <c r="E6" i="7" s="1"/>
  <c r="F6" i="7" s="1"/>
  <c r="H5" i="7"/>
  <c r="J9" i="7"/>
  <c r="I11" i="7"/>
  <c r="J5" i="7"/>
  <c r="N5" i="7"/>
  <c r="N4" i="7"/>
  <c r="N9" i="7"/>
  <c r="N8" i="7"/>
  <c r="N11" i="7"/>
  <c r="N7" i="7"/>
  <c r="N3" i="7"/>
  <c r="N10" i="7"/>
  <c r="N6" i="7"/>
  <c r="N2" i="7"/>
  <c r="B11" i="7"/>
  <c r="B10" i="7"/>
  <c r="E10" i="7"/>
  <c r="B8" i="7"/>
  <c r="B7" i="7"/>
  <c r="H8" i="7"/>
  <c r="H4" i="7"/>
  <c r="I10" i="7"/>
  <c r="I6" i="7"/>
  <c r="I2" i="7"/>
  <c r="J8" i="7"/>
  <c r="J4" i="7"/>
  <c r="L10" i="7"/>
  <c r="K9" i="7"/>
  <c r="E9" i="7" s="1"/>
  <c r="K5" i="7"/>
  <c r="E5" i="7" s="1"/>
  <c r="F5" i="7" s="1"/>
  <c r="H11" i="7"/>
  <c r="H7" i="7"/>
  <c r="H3" i="7"/>
  <c r="L9" i="7"/>
  <c r="K8" i="7"/>
  <c r="E8" i="7" s="1"/>
  <c r="K4" i="7"/>
  <c r="E4" i="7" s="1"/>
  <c r="F4" i="7" s="1"/>
  <c r="L11" i="7"/>
  <c r="F11" i="7" s="1"/>
  <c r="L7" i="7"/>
  <c r="F7" i="7" s="1"/>
  <c r="L3" i="7"/>
  <c r="F3" i="7" s="1"/>
  <c r="H10" i="7"/>
  <c r="H6" i="7"/>
  <c r="H2" i="7"/>
  <c r="L8" i="7"/>
  <c r="L2" i="7"/>
  <c r="K2" i="7"/>
  <c r="E2" i="7" s="1"/>
  <c r="B12" i="5"/>
  <c r="AF12" i="5"/>
  <c r="AG4" i="5"/>
  <c r="I19" i="4"/>
  <c r="I18" i="4"/>
  <c r="B3" i="4"/>
  <c r="B5" i="4"/>
  <c r="H16" i="4"/>
  <c r="I16" i="4" s="1"/>
  <c r="H12" i="4"/>
  <c r="I12" i="4" s="1"/>
  <c r="H8" i="4"/>
  <c r="I8" i="4" s="1"/>
  <c r="H4" i="4"/>
  <c r="I4" i="4" s="1"/>
  <c r="H15" i="4"/>
  <c r="I15" i="4" s="1"/>
  <c r="H11" i="4"/>
  <c r="I11" i="4" s="1"/>
  <c r="H7" i="4"/>
  <c r="I7" i="4" s="1"/>
  <c r="H3" i="4"/>
  <c r="I3" i="4" s="1"/>
  <c r="H14" i="4"/>
  <c r="I14" i="4" s="1"/>
  <c r="H10" i="4"/>
  <c r="I10" i="4" s="1"/>
  <c r="H6" i="4"/>
  <c r="I6" i="4" s="1"/>
  <c r="H2" i="4"/>
  <c r="I2" i="4" s="1"/>
  <c r="B4" i="4"/>
  <c r="H17" i="4"/>
  <c r="I17" i="4" s="1"/>
  <c r="H13" i="4"/>
  <c r="I13" i="4" s="1"/>
  <c r="H9" i="4"/>
  <c r="I9" i="4" s="1"/>
  <c r="H5" i="4"/>
  <c r="I5" i="4" s="1"/>
  <c r="B2" i="4"/>
  <c r="F10" i="7" l="1"/>
  <c r="F9" i="7"/>
  <c r="F2" i="7"/>
  <c r="F8" i="7"/>
  <c r="AG12" i="5"/>
  <c r="AH2" i="5" a="1"/>
  <c r="AH2" i="5" s="1"/>
  <c r="AH4" i="5" a="1"/>
  <c r="AH4" i="5" s="1"/>
  <c r="AK3" i="5"/>
  <c r="AK4" i="5"/>
  <c r="AK7" i="5"/>
  <c r="AK5" i="5"/>
  <c r="AK6" i="5"/>
  <c r="AK2" i="5"/>
  <c r="AL6" i="5"/>
  <c r="AL3" i="5"/>
  <c r="AL2" i="5"/>
  <c r="AL7" i="5"/>
  <c r="AL5" i="5"/>
  <c r="AL4" i="5"/>
  <c r="AM6" i="5" l="1"/>
  <c r="AM2" i="5"/>
  <c r="AM5" i="5"/>
  <c r="AM4" i="5"/>
  <c r="AM7" i="5"/>
  <c r="AM3" i="5"/>
  <c r="AH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<sst xmlns="http://schemas.openxmlformats.org/spreadsheetml/2006/main" count="536" uniqueCount="245">
  <si>
    <t>apellido</t>
  </si>
  <si>
    <t>nombre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</si>
  <si>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</si>
  <si>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</si>
  <si>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</si>
  <si>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</si>
  <si>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</si>
  <si>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</si>
  <si>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</si>
  <si>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</si>
  <si>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</si>
  <si>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</si>
  <si>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</si>
  <si>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</si>
  <si>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</si>
  <si>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</si>
  <si>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</si>
  <si>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</si>
  <si>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</si>
  <si>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</si>
  <si>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</si>
  <si>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</si>
  <si>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</si>
  <si>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</si>
  <si>
    <t>Gomez</t>
  </si>
  <si>
    <t>Gonzalo</t>
  </si>
  <si>
    <t>alegria 33</t>
  </si>
  <si>
    <t>11-0293-4903</t>
  </si>
  <si>
    <t>cod.</t>
  </si>
  <si>
    <t>Fernandez</t>
  </si>
  <si>
    <t>Lopez</t>
  </si>
  <si>
    <t>Daniela</t>
  </si>
  <si>
    <t>dinamarca 3920</t>
  </si>
  <si>
    <t>11-2309-2039</t>
  </si>
  <si>
    <t>Carla</t>
  </si>
  <si>
    <t>nueva york 1929</t>
  </si>
  <si>
    <t>11-9493-2392</t>
  </si>
  <si>
    <t>fecha nac.</t>
  </si>
  <si>
    <t>absoluta</t>
  </si>
  <si>
    <t>columna</t>
  </si>
  <si>
    <t>filas</t>
  </si>
  <si>
    <t>relativa</t>
  </si>
  <si>
    <t>A:A ; B:B ; C:C</t>
  </si>
  <si>
    <t>1:1 ; 2:2 ; 3:3</t>
  </si>
  <si>
    <t>$A:$A</t>
  </si>
  <si>
    <t>$1:$1</t>
  </si>
  <si>
    <t>$A$1:$C$3</t>
  </si>
  <si>
    <t>Cristián</t>
  </si>
  <si>
    <t>$A1 ; A$1 ; $A$1</t>
  </si>
  <si>
    <t>celda</t>
  </si>
  <si>
    <t>A1 ; A2 ; A3</t>
  </si>
  <si>
    <t>A1:C1 ; A1:A3 ; A1:C3</t>
  </si>
  <si>
    <t>Referencia</t>
  </si>
  <si>
    <t>Rango</t>
  </si>
  <si>
    <t>cuil</t>
  </si>
  <si>
    <t>20-35336446-5</t>
  </si>
  <si>
    <t>20-43128323-1</t>
  </si>
  <si>
    <t>20-30283492-6</t>
  </si>
  <si>
    <t>27-33230498-2</t>
  </si>
  <si>
    <t>27-38578293-4</t>
  </si>
  <si>
    <t>atajos</t>
  </si>
  <si>
    <t>utilizacion</t>
  </si>
  <si>
    <t>ctrl +</t>
  </si>
  <si>
    <t>shift espacio</t>
  </si>
  <si>
    <t>ctrl espacio</t>
  </si>
  <si>
    <t>selecciona una columna</t>
  </si>
  <si>
    <t>selecciona una fila</t>
  </si>
  <si>
    <t>ctrl -</t>
  </si>
  <si>
    <t>quita una o mas celdas</t>
  </si>
  <si>
    <t>agrega una o mas celdas</t>
  </si>
  <si>
    <t>ctrl C</t>
  </si>
  <si>
    <t>ctrl X</t>
  </si>
  <si>
    <t>ctrl V</t>
  </si>
  <si>
    <t>copia las celdas</t>
  </si>
  <si>
    <t>corta las celdas</t>
  </si>
  <si>
    <t>pega las celdas</t>
  </si>
  <si>
    <t>Formulas</t>
  </si>
  <si>
    <t>Funciones</t>
  </si>
  <si>
    <t>operación</t>
  </si>
  <si>
    <t>valor a</t>
  </si>
  <si>
    <t>valor b</t>
  </si>
  <si>
    <t>total</t>
  </si>
  <si>
    <t>SUMA</t>
  </si>
  <si>
    <t>RESTA</t>
  </si>
  <si>
    <t>PRODUCTO</t>
  </si>
  <si>
    <t>DIVISION</t>
  </si>
  <si>
    <t>Metodos definididos con nombres reservados para realizar una operación determinada (verifican los datos con los que se trabaja)</t>
  </si>
  <si>
    <t>valor c</t>
  </si>
  <si>
    <t>RESIDUO</t>
  </si>
  <si>
    <t>PROMEDIO</t>
  </si>
  <si>
    <t>El tipo de dato utilizado es erroneo</t>
  </si>
  <si>
    <t>La formula no se reconoce el texto</t>
  </si>
  <si>
    <t>Division entre cero o celdas vacias</t>
  </si>
  <si>
    <t>La celda de referencia no es valida</t>
  </si>
  <si>
    <t>Descripcion</t>
  </si>
  <si>
    <t>Operación aritmetica que se realiza utilizando las referencias brindadas (los valores de las mismas deben validos o se devolvera un error)</t>
  </si>
  <si>
    <t>Errores</t>
  </si>
  <si>
    <t>codigo</t>
  </si>
  <si>
    <t>El valor supera la capacidad de la celda</t>
  </si>
  <si>
    <t>POTENCIA</t>
  </si>
  <si>
    <t>Cuando trabajamos con funciones y formulas nos podemos topar con algunos codigos que excel nos brindara para identificar cual es el problema.</t>
  </si>
  <si>
    <t>iva</t>
  </si>
  <si>
    <t>cant</t>
  </si>
  <si>
    <t>Cantidad</t>
  </si>
  <si>
    <t>IVA</t>
  </si>
  <si>
    <t>Moda</t>
  </si>
  <si>
    <t>Promedio</t>
  </si>
  <si>
    <t>precio</t>
  </si>
  <si>
    <t>precio+iva</t>
  </si>
  <si>
    <t>Maximo</t>
  </si>
  <si>
    <t>Minimo</t>
  </si>
  <si>
    <t>Total</t>
  </si>
  <si>
    <t>dias</t>
  </si>
  <si>
    <t>meses</t>
  </si>
  <si>
    <t>fechas</t>
  </si>
  <si>
    <t>Lunes</t>
  </si>
  <si>
    <t>Enero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</si>
  <si>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</si>
  <si>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</si>
  <si>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</si>
  <si>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</si>
  <si>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</si>
  <si>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</si>
  <si>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</si>
  <si>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</si>
  <si>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</si>
  <si>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</si>
  <si>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</si>
  <si>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</si>
  <si>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</si>
  <si>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</si>
  <si>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</si>
  <si>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</si>
  <si>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</si>
  <si>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 corta</t>
  </si>
  <si>
    <t>decimales</t>
  </si>
  <si>
    <t>enteros</t>
  </si>
  <si>
    <t>horas</t>
  </si>
  <si>
    <t>factura 001</t>
  </si>
  <si>
    <t>factura 012</t>
  </si>
  <si>
    <t>factura 002</t>
  </si>
  <si>
    <t>factura 003</t>
  </si>
  <si>
    <t>factura 004</t>
  </si>
  <si>
    <t>factura 005</t>
  </si>
  <si>
    <t>factura 006</t>
  </si>
  <si>
    <t>factura 007</t>
  </si>
  <si>
    <t>factura 008</t>
  </si>
  <si>
    <t>factura 009</t>
  </si>
  <si>
    <t>factura 010</t>
  </si>
  <si>
    <t>factura 011</t>
  </si>
  <si>
    <t>Martinez</t>
  </si>
  <si>
    <t>Gonzalez</t>
  </si>
  <si>
    <t>Jimenez</t>
  </si>
  <si>
    <t>Gimenez</t>
  </si>
  <si>
    <t>Mariano</t>
  </si>
  <si>
    <t>Jorge</t>
  </si>
  <si>
    <t>Gabriela</t>
  </si>
  <si>
    <t>Laura</t>
  </si>
  <si>
    <t>p</t>
  </si>
  <si>
    <t>01/09/22</t>
  </si>
  <si>
    <t>02/09/22</t>
  </si>
  <si>
    <t>03/09/22</t>
  </si>
  <si>
    <t>04/09/22</t>
  </si>
  <si>
    <t>05/09/22</t>
  </si>
  <si>
    <t>06/09/22</t>
  </si>
  <si>
    <t>07/09/22</t>
  </si>
  <si>
    <t>08/09/22</t>
  </si>
  <si>
    <t>09/09/22</t>
  </si>
  <si>
    <t>10/09/22</t>
  </si>
  <si>
    <t>11/09/22</t>
  </si>
  <si>
    <t>12/09/22</t>
  </si>
  <si>
    <t>13/09/22</t>
  </si>
  <si>
    <t>14/09/22</t>
  </si>
  <si>
    <t>15/09/22</t>
  </si>
  <si>
    <t>16/09/22</t>
  </si>
  <si>
    <t>17/09/22</t>
  </si>
  <si>
    <t>18/09/22</t>
  </si>
  <si>
    <t>19/09/22</t>
  </si>
  <si>
    <t>20/09/22</t>
  </si>
  <si>
    <t>21/09/22</t>
  </si>
  <si>
    <t>22/09/22</t>
  </si>
  <si>
    <t>23/09/22</t>
  </si>
  <si>
    <t>24/09/22</t>
  </si>
  <si>
    <t>25/09/22</t>
  </si>
  <si>
    <t>26/09/22</t>
  </si>
  <si>
    <t>27/09/22</t>
  </si>
  <si>
    <t>28/09/22</t>
  </si>
  <si>
    <t>29/09/22</t>
  </si>
  <si>
    <t>30/09/22</t>
  </si>
  <si>
    <t>Asist.</t>
  </si>
  <si>
    <t>Aus.</t>
  </si>
  <si>
    <t/>
  </si>
  <si>
    <t>mayor</t>
  </si>
  <si>
    <t>menor</t>
  </si>
  <si>
    <t>moda</t>
  </si>
  <si>
    <t>mediana</t>
  </si>
  <si>
    <t>Asist</t>
  </si>
  <si>
    <t>Aus</t>
  </si>
  <si>
    <t>Estadistica</t>
  </si>
  <si>
    <t>sueldo</t>
  </si>
  <si>
    <t>jornada</t>
  </si>
  <si>
    <t>valor hora</t>
  </si>
  <si>
    <t>Sueldo</t>
  </si>
  <si>
    <t>EMPLEADO</t>
  </si>
  <si>
    <t>CUIL</t>
  </si>
  <si>
    <t>TIPO</t>
  </si>
  <si>
    <t>DOCUMENTO</t>
  </si>
  <si>
    <t>VERIF</t>
  </si>
  <si>
    <t>SEPARADOR</t>
  </si>
  <si>
    <t>20-39128371-1</t>
  </si>
  <si>
    <t>20-45019105-2</t>
  </si>
  <si>
    <t>27-31203948-8</t>
  </si>
  <si>
    <t>27-30192834-4</t>
  </si>
  <si>
    <t>APELLIDO</t>
  </si>
  <si>
    <t>NOMBRE</t>
  </si>
  <si>
    <t>CHAR</t>
  </si>
  <si>
    <t>LARGO</t>
  </si>
  <si>
    <t>,</t>
  </si>
  <si>
    <t>NACIMIENTO</t>
  </si>
  <si>
    <t>HOY</t>
  </si>
  <si>
    <t>AHORA</t>
  </si>
  <si>
    <t>DIA</t>
  </si>
  <si>
    <t>MES</t>
  </si>
  <si>
    <t>AÑO</t>
  </si>
  <si>
    <t>HORAS</t>
  </si>
  <si>
    <t>MINUTOS</t>
  </si>
  <si>
    <t>SEGUNDOS</t>
  </si>
  <si>
    <t>VALOR</t>
  </si>
  <si>
    <t>FUNCION</t>
  </si>
  <si>
    <t>EDAD</t>
  </si>
  <si>
    <t>AÑOS</t>
  </si>
  <si>
    <t>20-28234973-3</t>
  </si>
  <si>
    <t>num al final</t>
  </si>
  <si>
    <t>EMPLEADOS</t>
  </si>
  <si>
    <t>Empleados</t>
  </si>
  <si>
    <t>Asistencia</t>
  </si>
  <si>
    <t>Ventas</t>
  </si>
  <si>
    <t>Productos</t>
  </si>
  <si>
    <t>Nuevo</t>
  </si>
  <si>
    <t>Atajos</t>
  </si>
  <si>
    <t>Repositorio</t>
  </si>
  <si>
    <t>Estadisticas</t>
  </si>
  <si>
    <t>Interno</t>
  </si>
  <si>
    <t>Externo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</si>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</sst>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&quot;$&quot;\ #,##0.00"/>
    <numFmt numFmtId="166" formatCode="dd/mm/yy;@"/>
    <numFmt numFmtId="167" formatCode="_-* #,##0_-;\-* #,##0_-;_-* &quot;-&quot;??_-;_-@_-"/>
    <numFmt numFmtId="169" formatCode="[$-F400]h:mm:ss\ AM/PM"/>
    <numFmt numFmtId="170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NumberFormat="1"/>
    <xf numFmtId="43" fontId="0" fillId="0" borderId="0" xfId="1" applyFont="1"/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3" borderId="3" xfId="0" applyFont="1" applyFill="1" applyBorder="1" applyAlignment="1">
      <alignment horizontal="left" indent="1"/>
    </xf>
    <xf numFmtId="0" fontId="0" fillId="3" borderId="4" xfId="0" applyFont="1" applyFill="1" applyBorder="1"/>
    <xf numFmtId="0" fontId="0" fillId="0" borderId="3" xfId="0" applyFont="1" applyBorder="1" applyAlignment="1">
      <alignment horizontal="left" indent="1"/>
    </xf>
    <xf numFmtId="1" fontId="0" fillId="0" borderId="4" xfId="0" applyNumberFormat="1" applyFont="1" applyBorder="1"/>
    <xf numFmtId="14" fontId="0" fillId="3" borderId="4" xfId="0" applyNumberFormat="1" applyFont="1" applyFill="1" applyBorder="1"/>
    <xf numFmtId="164" fontId="0" fillId="0" borderId="4" xfId="0" applyNumberFormat="1" applyFont="1" applyBorder="1"/>
    <xf numFmtId="20" fontId="0" fillId="3" borderId="4" xfId="0" applyNumberFormat="1" applyFont="1" applyFill="1" applyBorder="1"/>
    <xf numFmtId="165" fontId="0" fillId="0" borderId="4" xfId="0" applyNumberFormat="1" applyFont="1" applyBorder="1"/>
    <xf numFmtId="44" fontId="0" fillId="3" borderId="4" xfId="0" applyNumberFormat="1" applyFont="1" applyFill="1" applyBorder="1"/>
    <xf numFmtId="9" fontId="0" fillId="0" borderId="4" xfId="0" applyNumberFormat="1" applyFont="1" applyBorder="1"/>
    <xf numFmtId="12" fontId="0" fillId="3" borderId="4" xfId="0" applyNumberFormat="1" applyFont="1" applyFill="1" applyBorder="1"/>
    <xf numFmtId="0" fontId="0" fillId="0" borderId="1" xfId="0" applyFont="1" applyBorder="1" applyAlignment="1">
      <alignment horizontal="left" indent="1"/>
    </xf>
    <xf numFmtId="11" fontId="0" fillId="0" borderId="2" xfId="0" applyNumberFormat="1" applyFont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Font="1" applyBorder="1"/>
    <xf numFmtId="0" fontId="0" fillId="0" borderId="5" xfId="0" applyFont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4" borderId="4" xfId="0" applyNumberFormat="1" applyFont="1" applyFill="1" applyBorder="1"/>
    <xf numFmtId="0" fontId="0" fillId="3" borderId="3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4" xfId="0" applyNumberFormat="1" applyFont="1" applyFill="1" applyBorder="1"/>
    <xf numFmtId="0" fontId="0" fillId="0" borderId="3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4" fontId="0" fillId="3" borderId="6" xfId="0" applyNumberFormat="1" applyFont="1" applyFill="1" applyBorder="1" applyAlignment="1">
      <alignment horizontal="left" vertical="center"/>
    </xf>
    <xf numFmtId="2" fontId="0" fillId="3" borderId="4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2" fontId="0" fillId="0" borderId="4" xfId="0" applyNumberFormat="1" applyFont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2" fontId="0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/>
    <xf numFmtId="0" fontId="3" fillId="4" borderId="4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3" fillId="4" borderId="3" xfId="0" applyFont="1" applyFill="1" applyBorder="1" applyAlignment="1">
      <alignment horizontal="center" vertical="center"/>
    </xf>
    <xf numFmtId="166" fontId="0" fillId="0" borderId="0" xfId="0" applyNumberFormat="1"/>
    <xf numFmtId="44" fontId="0" fillId="0" borderId="0" xfId="2" applyFont="1"/>
    <xf numFmtId="167" fontId="0" fillId="0" borderId="0" xfId="1" applyNumberFormat="1" applyFont="1"/>
    <xf numFmtId="44" fontId="0" fillId="0" borderId="0" xfId="2" applyFont="1" applyAlignment="1">
      <alignment horizontal="left"/>
    </xf>
    <xf numFmtId="9" fontId="0" fillId="0" borderId="0" xfId="0" applyNumberFormat="1" applyAlignment="1">
      <alignment horizontal="right"/>
    </xf>
    <xf numFmtId="0" fontId="0" fillId="3" borderId="9" xfId="0" applyFont="1" applyFill="1" applyBorder="1" applyAlignment="1">
      <alignment horizontal="right" indent="1"/>
    </xf>
    <xf numFmtId="44" fontId="0" fillId="6" borderId="9" xfId="2" applyNumberFormat="1" applyFont="1" applyFill="1" applyBorder="1" applyAlignment="1">
      <alignment horizontal="right" indent="1"/>
    </xf>
    <xf numFmtId="44" fontId="0" fillId="3" borderId="9" xfId="2" applyNumberFormat="1" applyFont="1" applyFill="1" applyBorder="1" applyAlignment="1">
      <alignment horizontal="right" indent="1"/>
    </xf>
    <xf numFmtId="0" fontId="0" fillId="6" borderId="8" xfId="0" applyFont="1" applyFill="1" applyBorder="1" applyAlignment="1">
      <alignment horizontal="right" indent="1"/>
    </xf>
    <xf numFmtId="167" fontId="0" fillId="6" borderId="3" xfId="1" applyNumberFormat="1" applyFont="1" applyFill="1" applyBorder="1" applyAlignment="1">
      <alignment horizontal="left"/>
    </xf>
    <xf numFmtId="167" fontId="0" fillId="3" borderId="3" xfId="1" applyNumberFormat="1" applyFont="1" applyFill="1" applyBorder="1" applyAlignment="1">
      <alignment horizontal="left"/>
    </xf>
    <xf numFmtId="167" fontId="0" fillId="6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ont="1" applyFill="1" applyBorder="1" applyAlignment="1">
      <alignment horizontal="left" indent="1"/>
    </xf>
    <xf numFmtId="44" fontId="0" fillId="0" borderId="0" xfId="2" applyNumberFormat="1" applyFont="1"/>
    <xf numFmtId="14" fontId="0" fillId="0" borderId="0" xfId="0" applyNumberFormat="1"/>
    <xf numFmtId="0" fontId="0" fillId="0" borderId="10" xfId="0" applyFont="1" applyBorder="1" applyAlignment="1">
      <alignment horizontal="left" indent="1"/>
    </xf>
    <xf numFmtId="0" fontId="0" fillId="0" borderId="0" xfId="0" applyAlignment="1">
      <alignment textRotation="75"/>
    </xf>
    <xf numFmtId="0" fontId="0" fillId="0" borderId="0" xfId="0" applyAlignment="1">
      <alignment horizontal="right"/>
    </xf>
    <xf numFmtId="0" fontId="0" fillId="0" borderId="0" xfId="0" applyAlignment="1"/>
    <xf numFmtId="166" fontId="3" fillId="4" borderId="6" xfId="0" applyNumberFormat="1" applyFont="1" applyFill="1" applyBorder="1" applyAlignment="1">
      <alignment textRotation="90"/>
    </xf>
    <xf numFmtId="0" fontId="0" fillId="3" borderId="6" xfId="0" applyFont="1" applyFill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0" fillId="3" borderId="4" xfId="0" applyFont="1" applyFill="1" applyBorder="1" applyAlignment="1"/>
    <xf numFmtId="0" fontId="0" fillId="0" borderId="4" xfId="0" applyFont="1" applyBorder="1" applyAlignment="1"/>
    <xf numFmtId="2" fontId="2" fillId="2" borderId="0" xfId="0" applyNumberFormat="1" applyFont="1" applyFill="1" applyBorder="1" applyAlignment="1">
      <alignment horizontal="left" vertical="center"/>
    </xf>
    <xf numFmtId="2" fontId="0" fillId="3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166" fontId="3" fillId="4" borderId="0" xfId="0" applyNumberFormat="1" applyFont="1" applyFill="1" applyBorder="1" applyAlignment="1"/>
    <xf numFmtId="1" fontId="0" fillId="0" borderId="0" xfId="0" applyNumberFormat="1" applyAlignment="1"/>
    <xf numFmtId="1" fontId="0" fillId="0" borderId="0" xfId="0" applyNumberFormat="1"/>
    <xf numFmtId="0" fontId="0" fillId="0" borderId="11" xfId="0" applyFont="1" applyFill="1" applyBorder="1" applyAlignment="1"/>
    <xf numFmtId="44" fontId="0" fillId="0" borderId="0" xfId="0" applyNumberFormat="1" applyAlignment="1"/>
    <xf numFmtId="0" fontId="0" fillId="0" borderId="0" xfId="0" applyAlignment="1">
      <alignment horizontal="left" textRotation="75"/>
    </xf>
    <xf numFmtId="1" fontId="0" fillId="3" borderId="6" xfId="0" applyNumberFormat="1" applyFont="1" applyFill="1" applyBorder="1"/>
    <xf numFmtId="1" fontId="0" fillId="3" borderId="4" xfId="0" applyNumberFormat="1" applyFont="1" applyFill="1" applyBorder="1"/>
    <xf numFmtId="1" fontId="0" fillId="0" borderId="5" xfId="0" applyNumberFormat="1" applyFont="1" applyBorder="1"/>
    <xf numFmtId="44" fontId="3" fillId="4" borderId="3" xfId="2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44" fontId="0" fillId="3" borderId="1" xfId="2" applyNumberFormat="1" applyFont="1" applyFill="1" applyBorder="1" applyAlignment="1">
      <alignment horizontal="right" vertical="center"/>
    </xf>
    <xf numFmtId="0" fontId="0" fillId="3" borderId="2" xfId="0" applyFont="1" applyFill="1" applyBorder="1" applyAlignment="1">
      <alignment horizontal="right" vertical="center"/>
    </xf>
    <xf numFmtId="0" fontId="0" fillId="0" borderId="0" xfId="0" applyFont="1" applyBorder="1" applyAlignment="1"/>
    <xf numFmtId="0" fontId="0" fillId="0" borderId="11" xfId="0" applyFont="1" applyBorder="1" applyAlignment="1"/>
    <xf numFmtId="0" fontId="3" fillId="4" borderId="0" xfId="0" applyFont="1" applyFill="1" applyBorder="1"/>
    <xf numFmtId="44" fontId="0" fillId="3" borderId="4" xfId="2" applyFont="1" applyFill="1" applyBorder="1"/>
    <xf numFmtId="44" fontId="0" fillId="0" borderId="4" xfId="2" applyFont="1" applyBorder="1"/>
    <xf numFmtId="44" fontId="0" fillId="0" borderId="2" xfId="2" applyFont="1" applyBorder="1"/>
    <xf numFmtId="0" fontId="0" fillId="3" borderId="5" xfId="0" applyFont="1" applyFill="1" applyBorder="1" applyAlignment="1">
      <alignment horizontal="left" wrapText="1" indent="1"/>
    </xf>
    <xf numFmtId="0" fontId="0" fillId="3" borderId="2" xfId="0" applyFont="1" applyFill="1" applyBorder="1" applyAlignment="1">
      <alignment horizontal="left" wrapText="1" indent="1"/>
    </xf>
    <xf numFmtId="0" fontId="0" fillId="0" borderId="5" xfId="0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1" fillId="5" borderId="0" xfId="3" applyAlignment="1">
      <alignment horizontal="left" vertical="center" wrapText="1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 indent="1"/>
    </xf>
    <xf numFmtId="0" fontId="0" fillId="3" borderId="2" xfId="0" applyFont="1" applyFill="1" applyBorder="1" applyAlignment="1">
      <alignment horizontal="left" indent="1"/>
    </xf>
    <xf numFmtId="0" fontId="1" fillId="5" borderId="7" xfId="3" applyBorder="1" applyAlignment="1">
      <alignment horizontal="left" vertical="top" wrapText="1"/>
    </xf>
    <xf numFmtId="0" fontId="0" fillId="3" borderId="6" xfId="1" applyNumberFormat="1" applyFont="1" applyFill="1" applyBorder="1"/>
    <xf numFmtId="0" fontId="0" fillId="0" borderId="6" xfId="1" applyNumberFormat="1" applyFont="1" applyBorder="1"/>
    <xf numFmtId="0" fontId="3" fillId="4" borderId="0" xfId="0" applyFont="1" applyFill="1"/>
    <xf numFmtId="14" fontId="0" fillId="0" borderId="0" xfId="0" applyNumberFormat="1" applyFont="1" applyBorder="1"/>
    <xf numFmtId="169" fontId="0" fillId="0" borderId="0" xfId="0" applyNumberFormat="1"/>
    <xf numFmtId="170" fontId="0" fillId="0" borderId="0" xfId="0" applyNumberFormat="1" applyFont="1"/>
    <xf numFmtId="164" fontId="0" fillId="0" borderId="0" xfId="0" applyNumberFormat="1"/>
    <xf numFmtId="1" fontId="0" fillId="0" borderId="0" xfId="0" applyNumberFormat="1" applyFont="1"/>
    <xf numFmtId="0" fontId="3" fillId="4" borderId="6" xfId="0" applyFont="1" applyFill="1" applyBorder="1" applyAlignment="1">
      <alignment horizontal="right" vertical="center" indent="1"/>
    </xf>
    <xf numFmtId="0" fontId="5" fillId="7" borderId="0" xfId="4"/>
    <xf numFmtId="0" fontId="5" fillId="12" borderId="0" xfId="9"/>
    <xf numFmtId="0" fontId="1" fillId="8" borderId="0" xfId="5"/>
    <xf numFmtId="14" fontId="1" fillId="8" borderId="0" xfId="5" applyNumberFormat="1"/>
    <xf numFmtId="0" fontId="1" fillId="11" borderId="0" xfId="8"/>
    <xf numFmtId="20" fontId="1" fillId="11" borderId="0" xfId="8" applyNumberFormat="1"/>
    <xf numFmtId="0" fontId="1" fillId="10" borderId="0" xfId="7"/>
    <xf numFmtId="0" fontId="1" fillId="10" borderId="0" xfId="7" applyAlignment="1">
      <alignment horizontal="right"/>
    </xf>
    <xf numFmtId="0" fontId="1" fillId="9" borderId="0" xfId="6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6" fillId="0" borderId="0" xfId="10" applyAlignment="1">
      <alignment horizontal="center"/>
    </xf>
  </cellXfs>
  <cellStyles count="11">
    <cellStyle name="20% - Énfasis1" xfId="3" builtinId="30"/>
    <cellStyle name="40% - Énfasis3" xfId="6" builtinId="39"/>
    <cellStyle name="60% - Énfasis2" xfId="5" builtinId="36"/>
    <cellStyle name="60% - Énfasis3" xfId="7" builtinId="40"/>
    <cellStyle name="60% - Énfasis4" xfId="8" builtinId="44"/>
    <cellStyle name="Énfasis1" xfId="4" builtinId="29"/>
    <cellStyle name="Énfasis6" xfId="9" builtinId="49"/>
    <cellStyle name="Hipervínculo" xfId="10" builtinId="8"/>
    <cellStyle name="Millares" xfId="1" builtinId="3"/>
    <cellStyle name="Moneda" xfId="2" builtinId="4"/>
    <cellStyle name="Normal" xfId="0" builtinId="0"/>
  </cellStyles>
  <dxfs count="58"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2.svg"/><Relationship Id="rId18" Type="http://schemas.openxmlformats.org/officeDocument/2006/relationships/hyperlink" Target="https://ru.wikinews.org/wiki/%D0%A0%D0%BE%D1%81%D0%BA%D0%BE%D0%BC%D0%BD%D0%B0%D0%B4%D0%B7%D0%BE%D1%80_%D0%B7%D0%B0%D0%B1%D0%BB%D0%BE%D0%BA%D0%B8%D1%80%D0%BE%D0%B2%D0%B0%D0%BB_GitHub_%D0%B7%D0%B0_%C2%AB%D0%A1%D0%BF%D0%BE%D1%81%D0%BE%D0%B1%D1%8B_%D1%81%D0%B0%D0%BC%D0%BE%D1%83%D0%B1%D0%B8%D0%B9%D1%81%D1%82%D0%B2%D0%B0%C2%BB" TargetMode="External"/><Relationship Id="rId3" Type="http://schemas.openxmlformats.org/officeDocument/2006/relationships/image" Target="../media/image3.png"/><Relationship Id="rId21" Type="http://schemas.openxmlformats.org/officeDocument/2006/relationships/image" Target="../media/image17.sv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17" Type="http://schemas.microsoft.com/office/2007/relationships/hdphoto" Target="../media/hdphoto1.wdp"/><Relationship Id="rId25" Type="http://schemas.openxmlformats.org/officeDocument/2006/relationships/image" Target="../media/image21.svg"/><Relationship Id="rId2" Type="http://schemas.openxmlformats.org/officeDocument/2006/relationships/image" Target="../media/image2.svg"/><Relationship Id="rId16" Type="http://schemas.openxmlformats.org/officeDocument/2006/relationships/image" Target="../media/image15.png"/><Relationship Id="rId20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hyperlink" Target="#menu!A1"/><Relationship Id="rId24" Type="http://schemas.openxmlformats.org/officeDocument/2006/relationships/image" Target="../media/image20.png"/><Relationship Id="rId5" Type="http://schemas.openxmlformats.org/officeDocument/2006/relationships/image" Target="../media/image5.png"/><Relationship Id="rId15" Type="http://schemas.openxmlformats.org/officeDocument/2006/relationships/image" Target="../media/image14.svg"/><Relationship Id="rId23" Type="http://schemas.openxmlformats.org/officeDocument/2006/relationships/image" Target="../media/image19.svg"/><Relationship Id="rId10" Type="http://schemas.openxmlformats.org/officeDocument/2006/relationships/image" Target="../media/image10.svg"/><Relationship Id="rId19" Type="http://schemas.openxmlformats.org/officeDocument/2006/relationships/hyperlink" Target="https://creativecommons.org/licenses/by/3.0/" TargetMode="External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3.png"/><Relationship Id="rId22" Type="http://schemas.openxmlformats.org/officeDocument/2006/relationships/image" Target="../media/image1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menu!A1"/><Relationship Id="rId2" Type="http://schemas.openxmlformats.org/officeDocument/2006/relationships/image" Target="NULL"/><Relationship Id="rId1" Type="http://schemas.openxmlformats.org/officeDocument/2006/relationships/customXml" Target="../ink/ink1.xml"/><Relationship Id="rId5" Type="http://schemas.openxmlformats.org/officeDocument/2006/relationships/image" Target="../media/image12.sv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7" Type="http://schemas.openxmlformats.org/officeDocument/2006/relationships/image" Target="../media/image12.svg"/><Relationship Id="rId2" Type="http://schemas.openxmlformats.org/officeDocument/2006/relationships/hyperlink" Target="https://rincondelemprendedor.es/se-limpia-una-oficina/" TargetMode="External"/><Relationship Id="rId1" Type="http://schemas.openxmlformats.org/officeDocument/2006/relationships/image" Target="../media/image22.jpg"/><Relationship Id="rId6" Type="http://schemas.openxmlformats.org/officeDocument/2006/relationships/image" Target="../media/image11.png"/><Relationship Id="rId5" Type="http://schemas.openxmlformats.org/officeDocument/2006/relationships/hyperlink" Target="#menu!A1"/><Relationship Id="rId4" Type="http://schemas.microsoft.com/office/2007/relationships/hdphoto" Target="../media/hdphoto2.wdp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1</xdr:row>
      <xdr:rowOff>47625</xdr:rowOff>
    </xdr:from>
    <xdr:to>
      <xdr:col>1</xdr:col>
      <xdr:colOff>743812</xdr:colOff>
      <xdr:row>1</xdr:row>
      <xdr:rowOff>767625</xdr:rowOff>
    </xdr:to>
    <xdr:pic>
      <xdr:nvPicPr>
        <xdr:cNvPr id="3" name="Gráfico 2" descr="Identificación de empleado con relleno sólido">
          <a:extLst>
            <a:ext uri="{FF2B5EF4-FFF2-40B4-BE49-F238E27FC236}">
              <a16:creationId xmlns:a16="http://schemas.microsoft.com/office/drawing/2014/main" id="{5832F222-D868-4434-B07A-575F4DD5D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9093" y="23812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</xdr:colOff>
      <xdr:row>1</xdr:row>
      <xdr:rowOff>59532</xdr:rowOff>
    </xdr:from>
    <xdr:to>
      <xdr:col>5</xdr:col>
      <xdr:colOff>743812</xdr:colOff>
      <xdr:row>2</xdr:row>
      <xdr:rowOff>5626</xdr:rowOff>
    </xdr:to>
    <xdr:pic>
      <xdr:nvPicPr>
        <xdr:cNvPr id="5" name="Gráfico 4" descr="Gráfico de barras con tendencia alcista con relleno sólido">
          <a:extLst>
            <a:ext uri="{FF2B5EF4-FFF2-40B4-BE49-F238E27FC236}">
              <a16:creationId xmlns:a16="http://schemas.microsoft.com/office/drawing/2014/main" id="{23F354C0-4089-4441-8F95-2F3EE8B1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21843" y="25003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30936</xdr:colOff>
      <xdr:row>1</xdr:row>
      <xdr:rowOff>42842</xdr:rowOff>
    </xdr:from>
    <xdr:to>
      <xdr:col>3</xdr:col>
      <xdr:colOff>750936</xdr:colOff>
      <xdr:row>1</xdr:row>
      <xdr:rowOff>762842</xdr:rowOff>
    </xdr:to>
    <xdr:pic>
      <xdr:nvPicPr>
        <xdr:cNvPr id="7" name="Gráfico 6" descr="Lista de comprobación con relleno sólido">
          <a:extLst>
            <a:ext uri="{FF2B5EF4-FFF2-40B4-BE49-F238E27FC236}">
              <a16:creationId xmlns:a16="http://schemas.microsoft.com/office/drawing/2014/main" id="{10AD911B-8B63-491F-9972-F7680607D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00217" y="23334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21373</xdr:colOff>
      <xdr:row>1</xdr:row>
      <xdr:rowOff>47625</xdr:rowOff>
    </xdr:from>
    <xdr:to>
      <xdr:col>2</xdr:col>
      <xdr:colOff>741373</xdr:colOff>
      <xdr:row>1</xdr:row>
      <xdr:rowOff>767625</xdr:rowOff>
    </xdr:to>
    <xdr:pic>
      <xdr:nvPicPr>
        <xdr:cNvPr id="11" name="Gráfico 10" descr="Calendario con relleno sólido">
          <a:extLst>
            <a:ext uri="{FF2B5EF4-FFF2-40B4-BE49-F238E27FC236}">
              <a16:creationId xmlns:a16="http://schemas.microsoft.com/office/drawing/2014/main" id="{E43E33A6-B85B-41AD-B9FB-0AA834EC0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28654" y="23812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576188</xdr:colOff>
      <xdr:row>5</xdr:row>
      <xdr:rowOff>40405</xdr:rowOff>
    </xdr:from>
    <xdr:to>
      <xdr:col>3</xdr:col>
      <xdr:colOff>728588</xdr:colOff>
      <xdr:row>10</xdr:row>
      <xdr:rowOff>2305</xdr:rowOff>
    </xdr:to>
    <xdr:pic>
      <xdr:nvPicPr>
        <xdr:cNvPr id="13" name="Gráfico 12" descr="Hogar con relleno sólido">
          <a:extLst>
            <a:ext uri="{FF2B5EF4-FFF2-40B4-BE49-F238E27FC236}">
              <a16:creationId xmlns:a16="http://schemas.microsoft.com/office/drawing/2014/main" id="{24C7C510-6179-4884-9B01-BFFDDDBBA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588219" y="213590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17766</xdr:colOff>
      <xdr:row>5</xdr:row>
      <xdr:rowOff>160640</xdr:rowOff>
    </xdr:from>
    <xdr:to>
      <xdr:col>1</xdr:col>
      <xdr:colOff>467766</xdr:colOff>
      <xdr:row>8</xdr:row>
      <xdr:rowOff>39140</xdr:rowOff>
    </xdr:to>
    <xdr:pic>
      <xdr:nvPicPr>
        <xdr:cNvPr id="15" name="Gráfico 14" descr="Flecha lineal: giro a la izquierda con relleno sólid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157EF5B-9C81-4AA8-9A03-B6C543EB8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67797" y="2256140"/>
          <a:ext cx="450000" cy="45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24891</xdr:colOff>
      <xdr:row>1</xdr:row>
      <xdr:rowOff>30843</xdr:rowOff>
    </xdr:from>
    <xdr:to>
      <xdr:col>4</xdr:col>
      <xdr:colOff>744891</xdr:colOff>
      <xdr:row>1</xdr:row>
      <xdr:rowOff>750843</xdr:rowOff>
    </xdr:to>
    <xdr:pic>
      <xdr:nvPicPr>
        <xdr:cNvPr id="17" name="Gráfico 16" descr="Dinero con relleno sólido">
          <a:extLst>
            <a:ext uri="{FF2B5EF4-FFF2-40B4-BE49-F238E27FC236}">
              <a16:creationId xmlns:a16="http://schemas.microsoft.com/office/drawing/2014/main" id="{A328DB67-68C5-4D3D-979D-D5AD2ECB0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656172" y="221343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53579</xdr:colOff>
      <xdr:row>3</xdr:row>
      <xdr:rowOff>59532</xdr:rowOff>
    </xdr:from>
    <xdr:to>
      <xdr:col>4</xdr:col>
      <xdr:colOff>701579</xdr:colOff>
      <xdr:row>3</xdr:row>
      <xdr:rowOff>707532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0AF6CC2-2936-42BF-BF3A-2B3DA1807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8"/>
            </a:ext>
          </a:extLst>
        </a:blip>
        <a:stretch>
          <a:fillRect/>
        </a:stretch>
      </xdr:blipFill>
      <xdr:spPr>
        <a:xfrm>
          <a:off x="2684860" y="1214438"/>
          <a:ext cx="648000" cy="64800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18</xdr:row>
      <xdr:rowOff>154781</xdr:rowOff>
    </xdr:from>
    <xdr:ext cx="720000" cy="233205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7C830833-A678-4643-BC81-441F5ED3C2E9}"/>
            </a:ext>
          </a:extLst>
        </xdr:cNvPr>
        <xdr:cNvSpPr txBox="1"/>
      </xdr:nvSpPr>
      <xdr:spPr>
        <a:xfrm>
          <a:off x="2631281" y="4726781"/>
          <a:ext cx="720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900">
              <a:hlinkClick xmlns:r="http://schemas.openxmlformats.org/officeDocument/2006/relationships" r:id="rId18" tooltip="https://ru.wikinews.org/wiki/%D0%A0%D0%BE%D1%81%D0%BA%D0%BE%D0%BC%D0%BD%D0%B0%D0%B4%D0%B7%D0%BE%D1%80_%D0%B7%D0%B0%D0%B1%D0%BB%D0%BE%D0%BA%D0%B8%D1%80%D0%BE%D0%B2%D0%B0%D0%BB_GitHub_%D0%B7%D0%B0_%C2%AB%D0%A1%D0%BF%D0%BE%D1%81%D0%BE%D0%B1%D1%8B_%D1%81%D0%B0%D0%BC%D0%BE%D1%83%D0%B1%D0%B8%D0%B9%D1%81%D1%82%D0%B2%D0%B0%C2%BB"/>
            </a:rPr>
            <a:t>Esta foto</a:t>
          </a:r>
          <a:r>
            <a:rPr lang="es-AR" sz="900"/>
            <a:t> de Autor desconocido está bajo licencia </a:t>
          </a:r>
          <a:r>
            <a:rPr lang="es-AR" sz="900">
              <a:hlinkClick xmlns:r="http://schemas.openxmlformats.org/officeDocument/2006/relationships" r:id="rId19" tooltip="https://creativecommons.org/licenses/by/3.0/"/>
            </a:rPr>
            <a:t>CC BY</a:t>
          </a:r>
          <a:endParaRPr lang="es-AR" sz="900"/>
        </a:p>
      </xdr:txBody>
    </xdr:sp>
    <xdr:clientData/>
  </xdr:oneCellAnchor>
  <xdr:twoCellAnchor editAs="oneCell">
    <xdr:from>
      <xdr:col>1</xdr:col>
      <xdr:colOff>29765</xdr:colOff>
      <xdr:row>3</xdr:row>
      <xdr:rowOff>23812</xdr:rowOff>
    </xdr:from>
    <xdr:to>
      <xdr:col>1</xdr:col>
      <xdr:colOff>749765</xdr:colOff>
      <xdr:row>3</xdr:row>
      <xdr:rowOff>743812</xdr:rowOff>
    </xdr:to>
    <xdr:pic>
      <xdr:nvPicPr>
        <xdr:cNvPr id="22" name="Gráfico 21" descr="Documento con relleno sólido">
          <a:extLst>
            <a:ext uri="{FF2B5EF4-FFF2-40B4-BE49-F238E27FC236}">
              <a16:creationId xmlns:a16="http://schemas.microsoft.com/office/drawing/2014/main" id="{E5795139-A3D8-4187-9AA4-1961A579B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75046" y="117871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24985</xdr:colOff>
      <xdr:row>3</xdr:row>
      <xdr:rowOff>36890</xdr:rowOff>
    </xdr:from>
    <xdr:to>
      <xdr:col>2</xdr:col>
      <xdr:colOff>744985</xdr:colOff>
      <xdr:row>4</xdr:row>
      <xdr:rowOff>6796</xdr:rowOff>
    </xdr:to>
    <xdr:pic>
      <xdr:nvPicPr>
        <xdr:cNvPr id="24" name="Gráfico 23" descr="Trueno con relleno sólido">
          <a:extLst>
            <a:ext uri="{FF2B5EF4-FFF2-40B4-BE49-F238E27FC236}">
              <a16:creationId xmlns:a16="http://schemas.microsoft.com/office/drawing/2014/main" id="{7CD4E284-7E41-4B99-8EB4-ECBBA3CB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1132266" y="1191796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23813</xdr:colOff>
      <xdr:row>3</xdr:row>
      <xdr:rowOff>17859</xdr:rowOff>
    </xdr:from>
    <xdr:to>
      <xdr:col>3</xdr:col>
      <xdr:colOff>743813</xdr:colOff>
      <xdr:row>3</xdr:row>
      <xdr:rowOff>737859</xdr:rowOff>
    </xdr:to>
    <xdr:pic>
      <xdr:nvPicPr>
        <xdr:cNvPr id="27" name="Gráfico 26" descr="Correo electrónico con relleno sólido">
          <a:extLst>
            <a:ext uri="{FF2B5EF4-FFF2-40B4-BE49-F238E27FC236}">
              <a16:creationId xmlns:a16="http://schemas.microsoft.com/office/drawing/2014/main" id="{54FFFD05-9D55-4F48-858E-5518E98A2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1797844" y="1172765"/>
          <a:ext cx="72000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179520</xdr:colOff>
      <xdr:row>0</xdr:row>
      <xdr:rowOff>-7193</xdr:rowOff>
    </xdr:from>
    <xdr:to>
      <xdr:col>8</xdr:col>
      <xdr:colOff>180600</xdr:colOff>
      <xdr:row>0</xdr:row>
      <xdr:rowOff>16560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73270</xdr:colOff>
      <xdr:row>11</xdr:row>
      <xdr:rowOff>161192</xdr:rowOff>
    </xdr:from>
    <xdr:to>
      <xdr:col>1</xdr:col>
      <xdr:colOff>178905</xdr:colOff>
      <xdr:row>14</xdr:row>
      <xdr:rowOff>39692</xdr:rowOff>
    </xdr:to>
    <xdr:pic>
      <xdr:nvPicPr>
        <xdr:cNvPr id="3" name="Gráfico 2" descr="Flecha lineal: giro a la izquierda con relleno sóli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0263D4-B54F-4AF0-A1ED-D1954A79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3270" y="2264019"/>
          <a:ext cx="450000" cy="4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91965</xdr:colOff>
      <xdr:row>7</xdr:row>
      <xdr:rowOff>170794</xdr:rowOff>
    </xdr:from>
    <xdr:to>
      <xdr:col>9</xdr:col>
      <xdr:colOff>541965</xdr:colOff>
      <xdr:row>10</xdr:row>
      <xdr:rowOff>49294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AFCDD-FB14-4AE1-8D97-A44A8BB6A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050017" y="1504294"/>
          <a:ext cx="450000" cy="4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29308</xdr:colOff>
      <xdr:row>7</xdr:row>
      <xdr:rowOff>168520</xdr:rowOff>
    </xdr:from>
    <xdr:to>
      <xdr:col>0</xdr:col>
      <xdr:colOff>479308</xdr:colOff>
      <xdr:row>10</xdr:row>
      <xdr:rowOff>47020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4D96F-2F6F-4879-94C1-B0D2EC890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9308" y="2080847"/>
          <a:ext cx="450000" cy="4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72259</xdr:colOff>
      <xdr:row>11</xdr:row>
      <xdr:rowOff>0</xdr:rowOff>
    </xdr:from>
    <xdr:to>
      <xdr:col>0</xdr:col>
      <xdr:colOff>522259</xdr:colOff>
      <xdr:row>13</xdr:row>
      <xdr:rowOff>69000</xdr:rowOff>
    </xdr:to>
    <xdr:pic>
      <xdr:nvPicPr>
        <xdr:cNvPr id="3" name="Gráfico 2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FF102-6DFE-4573-88E2-790E41914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2259" y="2095500"/>
          <a:ext cx="450000" cy="45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13606</xdr:colOff>
      <xdr:row>11</xdr:row>
      <xdr:rowOff>190499</xdr:rowOff>
    </xdr:from>
    <xdr:to>
      <xdr:col>32</xdr:col>
      <xdr:colOff>27212</xdr:colOff>
      <xdr:row>34</xdr:row>
      <xdr:rowOff>68034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4D3C3A-B055-4647-B987-592F75FF38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t="11559" b="6208"/>
        <a:stretch/>
      </xdr:blipFill>
      <xdr:spPr>
        <a:xfrm rot="10800000">
          <a:off x="1238249" y="2694213"/>
          <a:ext cx="10640785" cy="42590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29308</xdr:rowOff>
    </xdr:from>
    <xdr:to>
      <xdr:col>0</xdr:col>
      <xdr:colOff>483577</xdr:colOff>
      <xdr:row>0</xdr:row>
      <xdr:rowOff>512885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B2971C-47ED-4AF1-86A5-293DBD9C3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alphaModFix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31556" y1="26222" x2="25778" y2="69778"/>
                    </a14:backgroundRemoval>
                  </a14:imgEffect>
                  <a14:imgEffect>
                    <a14:sharpenSoften amount="-25000"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308"/>
          <a:ext cx="483577" cy="483577"/>
        </a:xfrm>
        <a:prstGeom prst="rect">
          <a:avLst/>
        </a:prstGeom>
      </xdr:spPr>
    </xdr:pic>
    <xdr:clientData/>
  </xdr:twoCellAnchor>
  <xdr:twoCellAnchor editAs="oneCell">
    <xdr:from>
      <xdr:col>0</xdr:col>
      <xdr:colOff>16565</xdr:colOff>
      <xdr:row>12</xdr:row>
      <xdr:rowOff>0</xdr:rowOff>
    </xdr:from>
    <xdr:to>
      <xdr:col>0</xdr:col>
      <xdr:colOff>466565</xdr:colOff>
      <xdr:row>14</xdr:row>
      <xdr:rowOff>69000</xdr:rowOff>
    </xdr:to>
    <xdr:pic>
      <xdr:nvPicPr>
        <xdr:cNvPr id="8" name="Gráfico 7" descr="Flecha lineal: giro a la izquierda con relleno sólid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E1860AD-B977-4F95-8E37-DB1850961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65" y="2691848"/>
          <a:ext cx="450000" cy="45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139211</xdr:rowOff>
    </xdr:from>
    <xdr:to>
      <xdr:col>0</xdr:col>
      <xdr:colOff>450000</xdr:colOff>
      <xdr:row>9</xdr:row>
      <xdr:rowOff>17711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0EB93-DAEB-49E9-A21E-CBEB8DDA9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1282211"/>
          <a:ext cx="450000" cy="45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p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6DC253-4297-42E8-811E-51DF8355CE68}" name="Tabla4" displayName="Tabla4" ref="D1:O11" totalsRowShown="0" headerRowDxfId="49" dataDxfId="48" tableBorderDxfId="47">
  <autoFilter ref="D1:O11" xr:uid="{A66DC253-4297-42E8-811E-51DF8355CE68}"/>
  <tableColumns count="12">
    <tableColumn id="1" xr3:uid="{AD2BFDC6-9212-4AF1-A883-4F5292CC8670}" name="EMPLEADO" dataDxfId="46">
      <calculatedColumnFormula>asistencia!A2</calculatedColumnFormula>
    </tableColumn>
    <tableColumn id="8" xr3:uid="{9941B11B-F67E-4F32-82D2-B86FEB7E9F6E}" name="APELLIDO" dataDxfId="45">
      <calculatedColumnFormula>LEFT(Tabla4[[#This Row],[EMPLEADO]], Tabla4[[#This Row],[CHAR]] - 1)</calculatedColumnFormula>
    </tableColumn>
    <tableColumn id="9" xr3:uid="{DEEF5E54-5054-45B9-B8EE-A5D09A981708}" name="NOMBRE" dataDxfId="44">
      <calculatedColumnFormula>RIGHT(Tabla4[[#This Row],[EMPLEADO]], Tabla4[[#This Row],[LARGO]] - (LEN(Tabla4[[#This Row],[APELLIDO]]) + 2))</calculatedColumnFormula>
    </tableColumn>
    <tableColumn id="2" xr3:uid="{4F40C219-FD97-4CAB-B243-ECFB4C424AFF}" name="CUIL" dataDxfId="43">
      <calculatedColumnFormula>introduccion!D2</calculatedColumnFormula>
    </tableColumn>
    <tableColumn id="3" xr3:uid="{62C6429F-DFB5-4F13-9C8C-F4F9A8B2BFF4}" name="TIPO" dataDxfId="42">
      <calculatedColumnFormula>LEFT(Tabla4[[#This Row],[CUIL]],2)</calculatedColumnFormula>
    </tableColumn>
    <tableColumn id="4" xr3:uid="{19B71444-5CC4-45F1-8222-5A8DBAD1B101}" name="DOCUMENTO" dataDxfId="41" dataCellStyle="Millares">
      <calculatedColumnFormula>MID(Tabla4[[#This Row],[CUIL]],4,8)</calculatedColumnFormula>
    </tableColumn>
    <tableColumn id="5" xr3:uid="{E886725E-39BE-415C-979A-1175DA7DBC26}" name="VERIF" dataDxfId="40">
      <calculatedColumnFormula>RIGHT(Tabla4[[#This Row],[CUIL]],1)</calculatedColumnFormula>
    </tableColumn>
    <tableColumn id="6" xr3:uid="{C0528248-53F2-4B9A-B0FC-54DAC797D388}" name="CHAR" dataDxfId="39">
      <calculatedColumnFormula>FIND(separador,Tabla4[[#This Row],[EMPLEADO]])</calculatedColumnFormula>
    </tableColumn>
    <tableColumn id="7" xr3:uid="{7ACF23E0-4058-4529-87E3-89A0F10EDEE7}" name="LARGO" dataDxfId="38">
      <calculatedColumnFormula>LEN(Tabla4[[#This Row],[EMPLEADO]])</calculatedColumnFormula>
    </tableColumn>
    <tableColumn id="10" xr3:uid="{C0311DC3-1821-46B4-BAF2-F825CC93183C}" name="NACIMIENTO" dataDxfId="37">
      <calculatedColumnFormula>introduccion!E2</calculatedColumnFormula>
    </tableColumn>
    <tableColumn id="11" xr3:uid="{C5EF39FB-0151-4B57-8F47-0735E6F3917B}" name="EDAD" dataDxfId="36">
      <calculatedColumnFormula>(datos_hoy - Tabla4[[#This Row],[NACIMIENTO]]) / 365</calculatedColumnFormula>
    </tableColumn>
    <tableColumn id="12" xr3:uid="{A025954B-A9FF-49BA-A580-9FA9F8B233C2}" name="AÑOS" dataDxfId="35">
      <calculatedColumnFormula>$B$6 - YEAR(Tabla4[[#This Row],[NACIMIENTO]])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222F79-CD71-4A63-90A3-41A2C008D14D}" name="Tabla5" displayName="Tabla5" ref="A3:B11" totalsRowShown="0">
  <autoFilter ref="A3:B11" xr:uid="{87222F79-CD71-4A63-90A3-41A2C008D14D}"/>
  <tableColumns count="2">
    <tableColumn id="1" xr3:uid="{B1C8C891-E7E4-433B-A848-68CBB4EF2B99}" name="FUNCION"/>
    <tableColumn id="2" xr3:uid="{9312EEEF-C98D-4969-A056-95997DAF5EDF}" name="VAL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255E47-4E76-4E15-B9ED-DABF169EDCDF}" name="Tabla3" displayName="Tabla3" ref="A1:AH12" totalsRowCount="1" tableBorderDxfId="57">
  <autoFilter ref="A1:AH11" xr:uid="{EB255E47-4E76-4E15-B9ED-DABF169EDCDF}"/>
  <tableColumns count="34">
    <tableColumn id="1" xr3:uid="{FFB40CFD-2FB0-4BA8-9AD2-20F41FFE821E}" name="EMPLEADOS" totalsRowLabel="Total" dataDxfId="34">
      <calculatedColumnFormula>_xlfn.CONCAT(introduccion!C2&amp;", "&amp;introduccion!B2)</calculatedColumnFormula>
    </tableColumn>
    <tableColumn id="2" xr3:uid="{7CD2E68C-D07C-4635-B469-EBACA13F9D82}" name="01/09/22" totalsRowFunction="custom" dataDxfId="33">
      <totalsRowFormula>COUNTA($A$2:$A$11) - COUNTBLANK(B2:B11)</totalsRowFormula>
    </tableColumn>
    <tableColumn id="3" xr3:uid="{6782312C-2AED-4FF2-B804-F6EC82A9B619}" name="02/09/22" totalsRowFunction="custom" dataDxfId="32">
      <totalsRowFormula>COUNTBLANK(C2:C11)</totalsRowFormula>
    </tableColumn>
    <tableColumn id="4" xr3:uid="{C6A44F1E-D0D7-4343-B875-865BCF5DE859}" name="03/09/22" totalsRowFunction="custom" dataDxfId="31">
      <totalsRowFormula>COUNTBLANK(D2:D11)</totalsRowFormula>
    </tableColumn>
    <tableColumn id="5" xr3:uid="{1B6A406D-2E5A-4E52-9AF8-9BBB22029492}" name="04/09/22" totalsRowFunction="custom" dataDxfId="30">
      <totalsRowFormula>COUNTBLANK(E2:E11)</totalsRowFormula>
    </tableColumn>
    <tableColumn id="6" xr3:uid="{8B393F8F-816E-412F-8868-DE374FC96561}" name="05/09/22" totalsRowFunction="custom" dataDxfId="29">
      <totalsRowFormula>COUNTBLANK(F2:F11)</totalsRowFormula>
    </tableColumn>
    <tableColumn id="7" xr3:uid="{A3EEB526-D699-481A-B321-F21F70B94670}" name="06/09/22" totalsRowFunction="custom" dataDxfId="28">
      <totalsRowFormula>COUNTBLANK(G2:G11)</totalsRowFormula>
    </tableColumn>
    <tableColumn id="8" xr3:uid="{F22C56C5-CB9F-40AD-81E2-33C9F951222A}" name="07/09/22" totalsRowFunction="custom" dataDxfId="27">
      <totalsRowFormula>COUNTBLANK(H2:H11)</totalsRowFormula>
    </tableColumn>
    <tableColumn id="9" xr3:uid="{73160653-73D2-4AB2-AF88-C92D864411FC}" name="08/09/22" totalsRowFunction="custom" dataDxfId="26">
      <totalsRowFormula>COUNTBLANK(I2:I11)</totalsRowFormula>
    </tableColumn>
    <tableColumn id="10" xr3:uid="{81C87D0C-5C80-4ADA-9017-C1883C821D5F}" name="09/09/22" totalsRowFunction="custom" dataDxfId="25">
      <totalsRowFormula>COUNTBLANK(J2:J11)</totalsRowFormula>
    </tableColumn>
    <tableColumn id="11" xr3:uid="{C452CA74-AE98-4EBE-B4AF-BFD228DE07E6}" name="10/09/22" totalsRowFunction="custom" dataDxfId="24">
      <totalsRowFormula>COUNTBLANK(K2:K11)</totalsRowFormula>
    </tableColumn>
    <tableColumn id="12" xr3:uid="{58FFD11A-AC9F-4F8E-8D7E-4F699E6FFAF5}" name="11/09/22" totalsRowFunction="custom" dataDxfId="23">
      <totalsRowFormula>COUNTBLANK(L2:L11)</totalsRowFormula>
    </tableColumn>
    <tableColumn id="13" xr3:uid="{EF89081F-FC50-4D28-B748-E215BB32BF49}" name="12/09/22" totalsRowFunction="custom" dataDxfId="22">
      <totalsRowFormula>COUNTBLANK(M2:M11)</totalsRowFormula>
    </tableColumn>
    <tableColumn id="14" xr3:uid="{9DC5AC26-133B-4292-A104-18BDAEB4A78F}" name="13/09/22" totalsRowFunction="custom" dataDxfId="21">
      <totalsRowFormula>COUNTBLANK(N2:N11)</totalsRowFormula>
    </tableColumn>
    <tableColumn id="15" xr3:uid="{A771D892-D621-46F4-9537-1B265C8E9A36}" name="14/09/22" totalsRowFunction="custom" dataDxfId="20">
      <totalsRowFormula>COUNTBLANK(O2:O11)</totalsRowFormula>
    </tableColumn>
    <tableColumn id="16" xr3:uid="{1F6F4D30-C62F-4312-9A7E-E1167AF5A05D}" name="15/09/22" totalsRowFunction="custom" dataDxfId="19">
      <totalsRowFormula>COUNTBLANK(P2:P11)</totalsRowFormula>
    </tableColumn>
    <tableColumn id="17" xr3:uid="{2D64B6B4-4A83-487B-9E69-1C35894B58C5}" name="16/09/22" totalsRowFunction="custom" dataDxfId="18">
      <totalsRowFormula>COUNTBLANK(Q2:Q11)</totalsRowFormula>
    </tableColumn>
    <tableColumn id="18" xr3:uid="{66F27389-1D9E-4B4E-AF0D-D7BB5386C4E2}" name="17/09/22" totalsRowFunction="custom" dataDxfId="17">
      <totalsRowFormula>COUNTBLANK(R2:R11)</totalsRowFormula>
    </tableColumn>
    <tableColumn id="19" xr3:uid="{DC182874-F7F9-48B4-BA09-DF7DD0C46D02}" name="18/09/22" totalsRowFunction="custom" dataDxfId="16">
      <totalsRowFormula>COUNTBLANK(S2:S11)</totalsRowFormula>
    </tableColumn>
    <tableColumn id="20" xr3:uid="{F211762A-904D-400D-8935-B6F09029DC73}" name="19/09/22" totalsRowFunction="custom" dataDxfId="15">
      <totalsRowFormula>COUNTBLANK(T2:T11)</totalsRowFormula>
    </tableColumn>
    <tableColumn id="21" xr3:uid="{3C17D129-9505-44DD-BBE0-ABF261CDE4BE}" name="20/09/22" totalsRowFunction="custom" dataDxfId="14">
      <totalsRowFormula>COUNTBLANK(U2:U11)</totalsRowFormula>
    </tableColumn>
    <tableColumn id="22" xr3:uid="{3839BFCA-649A-4DA4-9CC5-401179A69E94}" name="21/09/22" totalsRowFunction="custom" dataDxfId="13">
      <totalsRowFormula>COUNTBLANK(V2:V11)</totalsRowFormula>
    </tableColumn>
    <tableColumn id="23" xr3:uid="{CFA2F06A-8EE1-416E-910B-59D7BC443557}" name="22/09/22" totalsRowFunction="custom" dataDxfId="12">
      <totalsRowFormula>COUNTBLANK(W2:W11)</totalsRowFormula>
    </tableColumn>
    <tableColumn id="24" xr3:uid="{FF543CC5-D769-401F-B919-8083D15D1E25}" name="23/09/22" totalsRowFunction="custom" dataDxfId="11">
      <totalsRowFormula>COUNTBLANK(X2:X11)</totalsRowFormula>
    </tableColumn>
    <tableColumn id="25" xr3:uid="{19785421-596B-4949-9FE6-AC04B9A8A0B8}" name="24/09/22" totalsRowFunction="custom" dataDxfId="10">
      <totalsRowFormula>COUNTBLANK(Y2:Y11)</totalsRowFormula>
    </tableColumn>
    <tableColumn id="26" xr3:uid="{77DCF724-123A-4A25-A01B-4B525F174906}" name="25/09/22" totalsRowFunction="custom" dataDxfId="9">
      <totalsRowFormula>COUNTBLANK(Z2:Z11)</totalsRowFormula>
    </tableColumn>
    <tableColumn id="27" xr3:uid="{AC499496-18FA-4796-B6D1-8CB8B24D4635}" name="26/09/22" totalsRowFunction="custom" dataDxfId="8">
      <totalsRowFormula>COUNTBLANK(AA2:AA11)</totalsRowFormula>
    </tableColumn>
    <tableColumn id="28" xr3:uid="{D4ED44DE-9137-499F-85ED-BCD7ECD9A1EA}" name="27/09/22" totalsRowFunction="custom" dataDxfId="7">
      <totalsRowFormula>COUNTBLANK(AB2:AB11)</totalsRowFormula>
    </tableColumn>
    <tableColumn id="29" xr3:uid="{E385E835-FA8B-4251-9748-1E5B35CF35FC}" name="28/09/22" totalsRowFunction="custom" dataDxfId="6">
      <totalsRowFormula>COUNTBLANK(AC2:AC11)</totalsRowFormula>
    </tableColumn>
    <tableColumn id="30" xr3:uid="{0D4459DA-D655-4F90-A83C-FD20F4AD3F3E}" name="29/09/22" totalsRowFunction="custom" dataDxfId="5">
      <totalsRowFormula>COUNTBLANK(AD2:AD11)</totalsRowFormula>
    </tableColumn>
    <tableColumn id="31" xr3:uid="{32451497-3DB8-4B31-ADDF-E9C1A2599C46}" name="30/09/22" totalsRowFunction="custom" dataDxfId="4">
      <totalsRowFormula>COUNTBLANK(AE2:AE11)</totalsRowFormula>
    </tableColumn>
    <tableColumn id="32" xr3:uid="{3DD562B3-0719-4D45-8340-C2ACEA5547A7}" name="Aus." totalsRowFunction="sum" dataDxfId="3">
      <calculatedColumnFormula>COUNTBLANK(B2:AE2)</calculatedColumnFormula>
    </tableColumn>
    <tableColumn id="33" xr3:uid="{FB33E439-6F10-43AB-8172-EF83DE1E891A}" name="Asist." totalsRowFunction="sum" dataDxfId="2">
      <calculatedColumnFormula>COUNTA($B$1:$AE$1) - AF2</calculatedColumnFormula>
    </tableColumn>
    <tableColumn id="34" xr3:uid="{0D66ED41-FA53-4A07-8873-DA93C74A6065}" name="sueldo" totalsRowFunction="sum" dataDxfId="1" totalsRowDxfId="0">
      <calculatedColumnFormula array="1">AG2*valor_hora*jornada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78FFC-D445-4B32-A094-B9AA947FC8E6}" name="ventas" displayName="ventas" ref="D1:J19" totalsRowShown="0" headerRowDxfId="56" dataDxfId="55" headerRowCellStyle="Moneda" dataCellStyle="Moneda">
  <autoFilter ref="D1:J19" xr:uid="{68D78FFC-D445-4B32-A094-B9AA947FC8E6}"/>
  <tableColumns count="7">
    <tableColumn id="1" xr3:uid="{3AC5DBD6-A04E-4E7D-B94E-AE2A136DF070}" name="codigo"/>
    <tableColumn id="2" xr3:uid="{274BE5D4-57A6-4F62-AF29-6B2030F1B528}" name="cant"/>
    <tableColumn id="3" xr3:uid="{0F9DC028-3A53-4886-8D0D-ED861C2A3CEB}" name="precio" dataDxfId="54" dataCellStyle="Moneda"/>
    <tableColumn id="4" xr3:uid="{48AEC4E8-96DE-4725-B4D9-EBB0B8B700CF}" name="total" dataDxfId="53" dataCellStyle="Moneda">
      <calculatedColumnFormula>ventas[[#This Row],[cant]]*ventas[[#This Row],[precio]]</calculatedColumnFormula>
    </tableColumn>
    <tableColumn id="5" xr3:uid="{83C20BB9-A623-4746-82D5-84E408BD5E76}" name="iva" dataDxfId="52" dataCellStyle="Moneda">
      <calculatedColumnFormula>ventas[[#This Row],[total]]*iva_ventas</calculatedColumnFormula>
    </tableColumn>
    <tableColumn id="6" xr3:uid="{9587F797-1F6A-4699-95ED-8F390E0DAC4F}" name="precio+iva" dataDxfId="51" dataCellStyle="Moneda">
      <calculatedColumnFormula>ventas[[#This Row],[total]]+ventas[[#This Row],[iva]]</calculatedColumnFormula>
    </tableColumn>
    <tableColumn id="7" xr3:uid="{710A6C7B-EF76-4F87-B111-6E49C18F5053}" name="fecha" dataDxfId="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lanilla_nueva.xlsx" TargetMode="External"/><Relationship Id="rId2" Type="http://schemas.openxmlformats.org/officeDocument/2006/relationships/hyperlink" Target="docs\atajos-teclado.doc" TargetMode="External"/><Relationship Id="rId1" Type="http://schemas.openxmlformats.org/officeDocument/2006/relationships/hyperlink" Target="https://github.com/c215714n/EducacionIT/tree/excel-mj10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cristiandracedo@hotmail.com?subject=Consulta%20Exce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326A-D860-495A-AF68-0E18AA2E36F9}">
  <dimension ref="A2:F5"/>
  <sheetViews>
    <sheetView tabSelected="1" zoomScale="160" zoomScaleNormal="160" workbookViewId="0">
      <selection activeCell="F4" sqref="F4"/>
    </sheetView>
  </sheetViews>
  <sheetFormatPr baseColWidth="10" defaultRowHeight="15" x14ac:dyDescent="0.25"/>
  <cols>
    <col min="1" max="1" width="3.7109375" bestFit="1" customWidth="1"/>
  </cols>
  <sheetData>
    <row r="2" spans="1:6" ht="60.75" customHeight="1" x14ac:dyDescent="0.25">
      <c r="A2" s="132" t="s">
        <v>242</v>
      </c>
    </row>
    <row r="3" spans="1:6" x14ac:dyDescent="0.25">
      <c r="A3" s="132"/>
      <c r="B3" s="133" t="s">
        <v>234</v>
      </c>
      <c r="C3" s="133" t="s">
        <v>235</v>
      </c>
      <c r="D3" s="133" t="s">
        <v>237</v>
      </c>
      <c r="E3" s="133" t="s">
        <v>236</v>
      </c>
      <c r="F3" s="131" t="s">
        <v>241</v>
      </c>
    </row>
    <row r="4" spans="1:6" ht="59.25" customHeight="1" x14ac:dyDescent="0.25">
      <c r="A4" s="132" t="s">
        <v>243</v>
      </c>
    </row>
    <row r="5" spans="1:6" x14ac:dyDescent="0.25">
      <c r="A5" s="132"/>
      <c r="B5" s="133" t="s">
        <v>238</v>
      </c>
      <c r="C5" s="133" t="s">
        <v>239</v>
      </c>
      <c r="D5" s="133" t="s">
        <v>244</v>
      </c>
      <c r="E5" s="133" t="s">
        <v>240</v>
      </c>
    </row>
  </sheetData>
  <mergeCells count="2">
    <mergeCell ref="A2:A3"/>
    <mergeCell ref="A4:A5"/>
  </mergeCells>
  <hyperlinks>
    <hyperlink ref="B3" location="empleados!A1" display="Empleados" xr:uid="{919F88BF-D0E1-4B06-9EE8-CB5DBB880573}"/>
    <hyperlink ref="C3" location="asistencia!A1" display="Asistencia" xr:uid="{45573217-DB38-46CD-8437-6B3423E8E3EC}"/>
    <hyperlink ref="D3" location="productos!A1" display="Productos" xr:uid="{58721D55-2978-4D2F-BD26-D7CED7AB97CA}"/>
    <hyperlink ref="E3" location="ventas!A1" display="Ventas" xr:uid="{DD018C12-86A9-4B4F-947D-DBC880CBC4B3}"/>
    <hyperlink ref="E5" r:id="rId1" xr:uid="{F12823F8-3016-4C47-B8AD-2758926500EF}"/>
    <hyperlink ref="C5" r:id="rId2" xr:uid="{13B71C77-D4E3-4A36-B2A4-0B0F6D26A32C}"/>
    <hyperlink ref="B5" r:id="rId3" xr:uid="{6A952D04-3486-4A1F-A173-73801EDE9564}"/>
    <hyperlink ref="D5" r:id="rId4" xr:uid="{7A9D3122-3A0F-4B5E-8F90-21C71B83C799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K26"/>
  <sheetViews>
    <sheetView zoomScale="130" zoomScaleNormal="130" workbookViewId="0">
      <pane ySplit="1" topLeftCell="A2" activePane="bottomLeft" state="frozen"/>
      <selection pane="bottomLeft" activeCell="E3" sqref="E3"/>
    </sheetView>
  </sheetViews>
  <sheetFormatPr baseColWidth="10" defaultRowHeight="15" x14ac:dyDescent="0.25"/>
  <cols>
    <col min="1" max="1" width="5.140625" style="18" bestFit="1" customWidth="1"/>
    <col min="2" max="2" width="9.85546875" style="18" bestFit="1" customWidth="1"/>
    <col min="3" max="3" width="9.7109375" style="18" bestFit="1" customWidth="1"/>
    <col min="4" max="4" width="14.42578125" style="18" bestFit="1" customWidth="1"/>
    <col min="5" max="5" width="11.85546875" style="19" bestFit="1" customWidth="1"/>
    <col min="6" max="6" width="15.28515625" style="18" bestFit="1" customWidth="1"/>
    <col min="7" max="7" width="13.28515625" style="20" bestFit="1" customWidth="1"/>
    <col min="8" max="8" width="4" customWidth="1"/>
    <col min="9" max="9" width="13.28515625" bestFit="1" customWidth="1"/>
    <col min="10" max="10" width="24.42578125" bestFit="1" customWidth="1"/>
    <col min="11" max="11" width="15.140625" style="1" bestFit="1" customWidth="1"/>
  </cols>
  <sheetData>
    <row r="1" spans="1:11" ht="15.75" x14ac:dyDescent="0.25">
      <c r="A1" s="33" t="s">
        <v>28</v>
      </c>
      <c r="B1" s="81" t="s">
        <v>1</v>
      </c>
      <c r="C1" s="81" t="s">
        <v>0</v>
      </c>
      <c r="D1" s="34" t="s">
        <v>54</v>
      </c>
      <c r="E1" s="35" t="s">
        <v>37</v>
      </c>
      <c r="F1" s="34" t="s">
        <v>2</v>
      </c>
      <c r="G1" s="36" t="s">
        <v>3</v>
      </c>
      <c r="I1" s="3" t="s">
        <v>11</v>
      </c>
      <c r="J1" s="4" t="s">
        <v>20</v>
      </c>
    </row>
    <row r="2" spans="1:11" x14ac:dyDescent="0.25">
      <c r="A2" s="37">
        <v>1</v>
      </c>
      <c r="B2" s="82" t="s">
        <v>47</v>
      </c>
      <c r="C2" s="82" t="s">
        <v>8</v>
      </c>
      <c r="D2" s="38" t="s">
        <v>55</v>
      </c>
      <c r="E2" s="39">
        <v>33346</v>
      </c>
      <c r="F2" s="38" t="s">
        <v>4</v>
      </c>
      <c r="G2" s="40" t="s">
        <v>5</v>
      </c>
      <c r="I2" s="5" t="s">
        <v>12</v>
      </c>
      <c r="J2" s="6" t="s">
        <v>21</v>
      </c>
    </row>
    <row r="3" spans="1:11" x14ac:dyDescent="0.25">
      <c r="A3" s="41">
        <v>2</v>
      </c>
      <c r="B3" s="83" t="s">
        <v>10</v>
      </c>
      <c r="C3" s="83" t="s">
        <v>9</v>
      </c>
      <c r="D3" s="42" t="s">
        <v>56</v>
      </c>
      <c r="E3" s="43">
        <v>35632</v>
      </c>
      <c r="F3" s="42" t="s">
        <v>6</v>
      </c>
      <c r="G3" s="44" t="s">
        <v>7</v>
      </c>
      <c r="I3" s="7" t="s">
        <v>13</v>
      </c>
      <c r="J3" s="8">
        <v>31</v>
      </c>
    </row>
    <row r="4" spans="1:11" x14ac:dyDescent="0.25">
      <c r="A4" s="37">
        <v>3</v>
      </c>
      <c r="B4" s="45" t="s">
        <v>25</v>
      </c>
      <c r="C4" s="45" t="s">
        <v>24</v>
      </c>
      <c r="D4" s="38" t="s">
        <v>57</v>
      </c>
      <c r="E4" s="39">
        <v>32048</v>
      </c>
      <c r="F4" s="38" t="s">
        <v>26</v>
      </c>
      <c r="G4" s="40" t="s">
        <v>27</v>
      </c>
      <c r="I4" s="5" t="s">
        <v>134</v>
      </c>
      <c r="J4" s="9">
        <v>33346</v>
      </c>
    </row>
    <row r="5" spans="1:11" x14ac:dyDescent="0.25">
      <c r="A5" s="41">
        <v>4</v>
      </c>
      <c r="B5" s="83" t="s">
        <v>31</v>
      </c>
      <c r="C5" s="83" t="s">
        <v>29</v>
      </c>
      <c r="D5" s="42" t="s">
        <v>58</v>
      </c>
      <c r="E5" s="43">
        <v>32745</v>
      </c>
      <c r="F5" s="42" t="s">
        <v>32</v>
      </c>
      <c r="G5" s="44" t="s">
        <v>33</v>
      </c>
      <c r="I5" s="7" t="s">
        <v>23</v>
      </c>
      <c r="J5" s="10">
        <v>33346</v>
      </c>
    </row>
    <row r="6" spans="1:11" x14ac:dyDescent="0.25">
      <c r="A6" s="37">
        <v>5</v>
      </c>
      <c r="B6" s="45" t="s">
        <v>34</v>
      </c>
      <c r="C6" s="45" t="s">
        <v>30</v>
      </c>
      <c r="D6" s="45" t="s">
        <v>59</v>
      </c>
      <c r="E6" s="46">
        <v>34169</v>
      </c>
      <c r="F6" s="45" t="s">
        <v>35</v>
      </c>
      <c r="G6" s="47" t="s">
        <v>36</v>
      </c>
      <c r="I6" s="5" t="s">
        <v>15</v>
      </c>
      <c r="J6" s="11">
        <v>0.3263888888888889</v>
      </c>
    </row>
    <row r="7" spans="1:11" x14ac:dyDescent="0.25">
      <c r="A7" s="41">
        <v>6</v>
      </c>
      <c r="B7" s="83" t="s">
        <v>154</v>
      </c>
      <c r="C7" s="83" t="s">
        <v>150</v>
      </c>
      <c r="D7" s="18" t="s">
        <v>231</v>
      </c>
      <c r="E7" s="19">
        <v>31901</v>
      </c>
      <c r="I7" s="71" t="s">
        <v>16</v>
      </c>
      <c r="J7" s="12">
        <v>65000</v>
      </c>
    </row>
    <row r="8" spans="1:11" x14ac:dyDescent="0.25">
      <c r="A8" s="37">
        <v>7</v>
      </c>
      <c r="B8" s="45" t="s">
        <v>25</v>
      </c>
      <c r="C8" s="45" t="s">
        <v>151</v>
      </c>
      <c r="D8" s="45" t="s">
        <v>209</v>
      </c>
      <c r="E8" s="46">
        <v>34553</v>
      </c>
      <c r="F8" s="45"/>
      <c r="G8" s="45"/>
      <c r="I8" s="5" t="s">
        <v>17</v>
      </c>
      <c r="J8" s="13">
        <v>120000</v>
      </c>
    </row>
    <row r="9" spans="1:11" x14ac:dyDescent="0.25">
      <c r="A9" s="41">
        <v>8</v>
      </c>
      <c r="B9" s="83" t="s">
        <v>155</v>
      </c>
      <c r="C9" s="83" t="s">
        <v>152</v>
      </c>
      <c r="D9" s="18" t="s">
        <v>210</v>
      </c>
      <c r="E9" s="19">
        <v>37891</v>
      </c>
      <c r="G9" s="18"/>
      <c r="I9" s="7" t="s">
        <v>18</v>
      </c>
      <c r="J9" s="14">
        <v>0.25</v>
      </c>
    </row>
    <row r="10" spans="1:11" x14ac:dyDescent="0.25">
      <c r="A10" s="37">
        <v>9</v>
      </c>
      <c r="B10" s="45" t="s">
        <v>156</v>
      </c>
      <c r="C10" s="45" t="s">
        <v>153</v>
      </c>
      <c r="D10" s="45" t="s">
        <v>211</v>
      </c>
      <c r="E10" s="46">
        <v>31458</v>
      </c>
      <c r="F10" s="45"/>
      <c r="G10" s="45"/>
      <c r="I10" s="5" t="s">
        <v>19</v>
      </c>
      <c r="J10" s="15">
        <v>0.25</v>
      </c>
    </row>
    <row r="11" spans="1:11" x14ac:dyDescent="0.25">
      <c r="A11" s="41">
        <v>10</v>
      </c>
      <c r="B11" s="83" t="s">
        <v>157</v>
      </c>
      <c r="C11" s="83" t="s">
        <v>30</v>
      </c>
      <c r="D11" s="18" t="s">
        <v>212</v>
      </c>
      <c r="E11" s="19">
        <v>31130</v>
      </c>
      <c r="G11" s="18"/>
      <c r="I11" s="16" t="s">
        <v>22</v>
      </c>
      <c r="J11" s="17">
        <v>4294967296</v>
      </c>
    </row>
    <row r="12" spans="1:11" x14ac:dyDescent="0.25">
      <c r="B12" s="18" t="s">
        <v>191</v>
      </c>
      <c r="C12" s="18" t="s">
        <v>191</v>
      </c>
      <c r="E12" s="18"/>
      <c r="G12" s="18"/>
      <c r="J12" s="2"/>
    </row>
    <row r="13" spans="1:11" x14ac:dyDescent="0.25">
      <c r="I13" s="23" t="s">
        <v>52</v>
      </c>
      <c r="J13" s="24" t="s">
        <v>41</v>
      </c>
      <c r="K13" s="25" t="s">
        <v>38</v>
      </c>
    </row>
    <row r="14" spans="1:11" x14ac:dyDescent="0.25">
      <c r="I14" s="26" t="s">
        <v>39</v>
      </c>
      <c r="J14" s="27" t="s">
        <v>42</v>
      </c>
      <c r="K14" s="28" t="s">
        <v>44</v>
      </c>
    </row>
    <row r="15" spans="1:11" x14ac:dyDescent="0.25">
      <c r="I15" s="29" t="s">
        <v>40</v>
      </c>
      <c r="J15" s="30" t="s">
        <v>43</v>
      </c>
      <c r="K15" s="31" t="s">
        <v>45</v>
      </c>
    </row>
    <row r="16" spans="1:11" x14ac:dyDescent="0.25">
      <c r="I16" s="26" t="s">
        <v>49</v>
      </c>
      <c r="J16" s="27" t="s">
        <v>50</v>
      </c>
      <c r="K16" s="28" t="s">
        <v>48</v>
      </c>
    </row>
    <row r="17" spans="9:11" x14ac:dyDescent="0.25">
      <c r="I17" s="21" t="s">
        <v>53</v>
      </c>
      <c r="J17" s="22" t="s">
        <v>51</v>
      </c>
      <c r="K17" s="32" t="s">
        <v>46</v>
      </c>
    </row>
    <row r="19" spans="9:11" x14ac:dyDescent="0.25">
      <c r="I19" t="s">
        <v>60</v>
      </c>
      <c r="J19" t="s">
        <v>61</v>
      </c>
    </row>
    <row r="20" spans="9:11" x14ac:dyDescent="0.25">
      <c r="I20" t="s">
        <v>64</v>
      </c>
      <c r="J20" t="s">
        <v>65</v>
      </c>
    </row>
    <row r="21" spans="9:11" x14ac:dyDescent="0.25">
      <c r="I21" t="s">
        <v>63</v>
      </c>
      <c r="J21" t="s">
        <v>66</v>
      </c>
    </row>
    <row r="22" spans="9:11" x14ac:dyDescent="0.25">
      <c r="I22" t="s">
        <v>62</v>
      </c>
      <c r="J22" t="s">
        <v>69</v>
      </c>
    </row>
    <row r="23" spans="9:11" x14ac:dyDescent="0.25">
      <c r="I23" t="s">
        <v>67</v>
      </c>
      <c r="J23" t="s">
        <v>68</v>
      </c>
    </row>
    <row r="24" spans="9:11" x14ac:dyDescent="0.25">
      <c r="I24" t="s">
        <v>70</v>
      </c>
      <c r="J24" t="s">
        <v>73</v>
      </c>
    </row>
    <row r="25" spans="9:11" x14ac:dyDescent="0.25">
      <c r="I25" t="s">
        <v>71</v>
      </c>
      <c r="J25" t="s">
        <v>74</v>
      </c>
    </row>
    <row r="26" spans="9:11" x14ac:dyDescent="0.25">
      <c r="I26" t="s">
        <v>72</v>
      </c>
      <c r="J26" t="s">
        <v>75</v>
      </c>
    </row>
  </sheetData>
  <printOptions horizontalCentered="1"/>
  <pageMargins left="0.62992125984251968" right="0.62992125984251968" top="0.94488188976377963" bottom="0.94488188976377963" header="0.31496062992125984" footer="0.31496062992125984"/>
  <pageSetup paperSize="9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921C-C865-4A35-A062-281C1CB55D2D}">
  <dimension ref="A1:U13"/>
  <sheetViews>
    <sheetView topLeftCell="J1" zoomScale="145" zoomScaleNormal="145" workbookViewId="0">
      <selection activeCell="K10" sqref="K10"/>
    </sheetView>
  </sheetViews>
  <sheetFormatPr baseColWidth="10" defaultRowHeight="15" x14ac:dyDescent="0.25"/>
  <cols>
    <col min="1" max="1" width="7.85546875" bestFit="1" customWidth="1"/>
    <col min="2" max="2" width="10" bestFit="1" customWidth="1"/>
    <col min="3" max="3" width="11.42578125" bestFit="1" customWidth="1"/>
    <col min="4" max="4" width="9.7109375" bestFit="1" customWidth="1"/>
    <col min="6" max="6" width="10.140625" bestFit="1" customWidth="1"/>
    <col min="7" max="7" width="5.85546875" bestFit="1" customWidth="1"/>
    <col min="10" max="13" width="10.5703125" bestFit="1" customWidth="1"/>
  </cols>
  <sheetData>
    <row r="1" spans="1:21" x14ac:dyDescent="0.25">
      <c r="A1" s="128" t="s">
        <v>136</v>
      </c>
      <c r="B1" s="130" t="s">
        <v>135</v>
      </c>
      <c r="C1" s="128" t="s">
        <v>232</v>
      </c>
      <c r="D1" s="123" t="s">
        <v>112</v>
      </c>
      <c r="E1" s="122" t="s">
        <v>113</v>
      </c>
      <c r="F1" s="124" t="s">
        <v>114</v>
      </c>
      <c r="G1" s="126" t="s">
        <v>137</v>
      </c>
      <c r="I1" s="128" t="s">
        <v>136</v>
      </c>
      <c r="J1" s="128">
        <v>1</v>
      </c>
      <c r="K1" s="128">
        <v>2</v>
      </c>
      <c r="L1" s="128">
        <v>3</v>
      </c>
      <c r="M1" s="128">
        <v>4</v>
      </c>
      <c r="N1" s="128">
        <v>5</v>
      </c>
      <c r="O1" s="128">
        <v>6</v>
      </c>
      <c r="P1" s="128">
        <v>7</v>
      </c>
      <c r="Q1" s="128">
        <v>8</v>
      </c>
      <c r="R1" s="128">
        <v>9</v>
      </c>
      <c r="S1" s="128">
        <v>10</v>
      </c>
      <c r="T1" s="128">
        <v>11</v>
      </c>
      <c r="U1" s="128">
        <v>12</v>
      </c>
    </row>
    <row r="2" spans="1:21" x14ac:dyDescent="0.25">
      <c r="A2" s="128">
        <v>1</v>
      </c>
      <c r="B2" s="130">
        <v>0.25</v>
      </c>
      <c r="C2" s="129" t="s">
        <v>138</v>
      </c>
      <c r="D2" s="123" t="s">
        <v>115</v>
      </c>
      <c r="E2" s="122" t="s">
        <v>116</v>
      </c>
      <c r="F2" s="125">
        <v>44805</v>
      </c>
      <c r="G2" s="127">
        <v>0</v>
      </c>
      <c r="I2" s="130" t="s">
        <v>135</v>
      </c>
      <c r="J2" s="130">
        <v>0.25</v>
      </c>
      <c r="K2" s="130">
        <v>0.5</v>
      </c>
      <c r="L2" s="130">
        <v>0.75</v>
      </c>
      <c r="M2" s="130">
        <v>1</v>
      </c>
      <c r="N2" s="130">
        <v>1.25</v>
      </c>
      <c r="O2" s="130">
        <v>1.5</v>
      </c>
      <c r="P2" s="130">
        <v>1.75</v>
      </c>
      <c r="Q2" s="130">
        <v>2</v>
      </c>
      <c r="R2" s="130">
        <v>2.25</v>
      </c>
      <c r="S2" s="130">
        <v>2.5</v>
      </c>
      <c r="T2" s="130">
        <v>2.75</v>
      </c>
      <c r="U2" s="130">
        <v>3</v>
      </c>
    </row>
    <row r="3" spans="1:21" x14ac:dyDescent="0.25">
      <c r="A3" s="128">
        <v>2</v>
      </c>
      <c r="B3" s="130">
        <v>0.5</v>
      </c>
      <c r="C3" s="129" t="s">
        <v>140</v>
      </c>
      <c r="D3" s="123" t="s">
        <v>117</v>
      </c>
      <c r="E3" s="122" t="s">
        <v>123</v>
      </c>
      <c r="F3" s="125">
        <v>44806</v>
      </c>
      <c r="G3" s="127">
        <v>4.1666666666666699E-2</v>
      </c>
      <c r="I3" s="128" t="s">
        <v>232</v>
      </c>
      <c r="J3" s="129" t="s">
        <v>138</v>
      </c>
      <c r="K3" s="129" t="s">
        <v>140</v>
      </c>
      <c r="L3" s="129" t="s">
        <v>141</v>
      </c>
      <c r="M3" s="129" t="s">
        <v>142</v>
      </c>
      <c r="N3" s="129" t="s">
        <v>143</v>
      </c>
      <c r="O3" s="129" t="s">
        <v>144</v>
      </c>
      <c r="P3" s="129" t="s">
        <v>145</v>
      </c>
      <c r="Q3" s="129" t="s">
        <v>146</v>
      </c>
      <c r="R3" s="129" t="s">
        <v>147</v>
      </c>
      <c r="S3" s="129" t="s">
        <v>148</v>
      </c>
      <c r="T3" s="129" t="s">
        <v>149</v>
      </c>
      <c r="U3" s="129" t="s">
        <v>139</v>
      </c>
    </row>
    <row r="4" spans="1:21" x14ac:dyDescent="0.25">
      <c r="A4" s="128">
        <v>3</v>
      </c>
      <c r="B4" s="130">
        <v>0.75</v>
      </c>
      <c r="C4" s="129" t="s">
        <v>141</v>
      </c>
      <c r="D4" s="123" t="s">
        <v>118</v>
      </c>
      <c r="E4" s="122" t="s">
        <v>124</v>
      </c>
      <c r="F4" s="125">
        <v>44807</v>
      </c>
      <c r="G4" s="127">
        <v>8.3333333333333301E-2</v>
      </c>
      <c r="I4" s="123" t="s">
        <v>112</v>
      </c>
      <c r="J4" s="123" t="s">
        <v>115</v>
      </c>
      <c r="K4" s="123" t="s">
        <v>117</v>
      </c>
      <c r="L4" s="123" t="s">
        <v>118</v>
      </c>
      <c r="M4" s="123" t="s">
        <v>119</v>
      </c>
      <c r="N4" s="123" t="s">
        <v>120</v>
      </c>
      <c r="O4" s="123" t="s">
        <v>121</v>
      </c>
      <c r="P4" s="123" t="s">
        <v>122</v>
      </c>
      <c r="Q4" s="123" t="s">
        <v>115</v>
      </c>
      <c r="R4" s="123" t="s">
        <v>117</v>
      </c>
      <c r="S4" s="123" t="s">
        <v>118</v>
      </c>
      <c r="T4" s="123" t="s">
        <v>119</v>
      </c>
      <c r="U4" s="123" t="s">
        <v>120</v>
      </c>
    </row>
    <row r="5" spans="1:21" x14ac:dyDescent="0.25">
      <c r="A5" s="128">
        <v>4</v>
      </c>
      <c r="B5" s="130">
        <v>1</v>
      </c>
      <c r="C5" s="129" t="s">
        <v>142</v>
      </c>
      <c r="D5" s="123" t="s">
        <v>119</v>
      </c>
      <c r="E5" s="122" t="s">
        <v>125</v>
      </c>
      <c r="F5" s="125">
        <v>44808</v>
      </c>
      <c r="G5" s="127">
        <v>0.125</v>
      </c>
      <c r="I5" s="122" t="s">
        <v>113</v>
      </c>
      <c r="J5" s="122" t="s">
        <v>116</v>
      </c>
      <c r="K5" s="122" t="s">
        <v>123</v>
      </c>
      <c r="L5" s="122" t="s">
        <v>124</v>
      </c>
      <c r="M5" s="122" t="s">
        <v>125</v>
      </c>
      <c r="N5" s="122" t="s">
        <v>126</v>
      </c>
      <c r="O5" s="122" t="s">
        <v>127</v>
      </c>
      <c r="P5" s="122" t="s">
        <v>128</v>
      </c>
      <c r="Q5" s="122" t="s">
        <v>129</v>
      </c>
      <c r="R5" s="122" t="s">
        <v>130</v>
      </c>
      <c r="S5" s="122" t="s">
        <v>131</v>
      </c>
      <c r="T5" s="122" t="s">
        <v>132</v>
      </c>
      <c r="U5" s="122" t="s">
        <v>133</v>
      </c>
    </row>
    <row r="6" spans="1:21" x14ac:dyDescent="0.25">
      <c r="A6" s="128">
        <v>5</v>
      </c>
      <c r="B6" s="130">
        <v>1.25</v>
      </c>
      <c r="C6" s="129" t="s">
        <v>143</v>
      </c>
      <c r="D6" s="123" t="s">
        <v>120</v>
      </c>
      <c r="E6" s="122" t="s">
        <v>126</v>
      </c>
      <c r="F6" s="125">
        <v>44809</v>
      </c>
      <c r="G6" s="127">
        <v>0.16666666666666699</v>
      </c>
      <c r="I6" s="124" t="s">
        <v>114</v>
      </c>
      <c r="J6" s="125">
        <v>44805</v>
      </c>
      <c r="K6" s="125">
        <v>44806</v>
      </c>
      <c r="L6" s="125">
        <v>44807</v>
      </c>
      <c r="M6" s="125">
        <v>44808</v>
      </c>
      <c r="N6" s="125">
        <v>44809</v>
      </c>
      <c r="O6" s="125">
        <v>44810</v>
      </c>
      <c r="P6" s="125">
        <v>44811</v>
      </c>
      <c r="Q6" s="125">
        <v>44812</v>
      </c>
      <c r="R6" s="125">
        <v>44813</v>
      </c>
      <c r="S6" s="125">
        <v>44814</v>
      </c>
      <c r="T6" s="125">
        <v>44815</v>
      </c>
      <c r="U6" s="125">
        <v>44816</v>
      </c>
    </row>
    <row r="7" spans="1:21" x14ac:dyDescent="0.25">
      <c r="A7" s="128">
        <v>6</v>
      </c>
      <c r="B7" s="130">
        <v>1.5</v>
      </c>
      <c r="C7" s="129" t="s">
        <v>144</v>
      </c>
      <c r="D7" s="123" t="s">
        <v>121</v>
      </c>
      <c r="E7" s="122" t="s">
        <v>127</v>
      </c>
      <c r="F7" s="125">
        <v>44810</v>
      </c>
      <c r="G7" s="127">
        <v>0.20833333333333301</v>
      </c>
      <c r="I7" s="126" t="s">
        <v>137</v>
      </c>
      <c r="J7" s="127">
        <v>0</v>
      </c>
      <c r="K7" s="127">
        <v>4.1666666666666699E-2</v>
      </c>
      <c r="L7" s="127">
        <v>8.3333333333333301E-2</v>
      </c>
      <c r="M7" s="127">
        <v>0.125</v>
      </c>
      <c r="N7" s="127">
        <v>0.16666666666666699</v>
      </c>
      <c r="O7" s="127">
        <v>0.20833333333333301</v>
      </c>
      <c r="P7" s="127">
        <v>0.25</v>
      </c>
      <c r="Q7" s="127">
        <v>0.29166666666666702</v>
      </c>
      <c r="R7" s="127">
        <v>0.33333333333333298</v>
      </c>
      <c r="S7" s="127">
        <v>0.375</v>
      </c>
      <c r="T7" s="127">
        <v>0.41666666666666702</v>
      </c>
      <c r="U7" s="127">
        <v>0.45833333333333298</v>
      </c>
    </row>
    <row r="8" spans="1:21" x14ac:dyDescent="0.25">
      <c r="A8" s="128">
        <v>7</v>
      </c>
      <c r="B8" s="130">
        <v>1.75</v>
      </c>
      <c r="C8" s="129" t="s">
        <v>145</v>
      </c>
      <c r="D8" s="123" t="s">
        <v>122</v>
      </c>
      <c r="E8" s="122" t="s">
        <v>128</v>
      </c>
      <c r="F8" s="125">
        <v>44811</v>
      </c>
      <c r="G8" s="127">
        <v>0.25</v>
      </c>
    </row>
    <row r="9" spans="1:21" x14ac:dyDescent="0.25">
      <c r="A9" s="128">
        <v>8</v>
      </c>
      <c r="B9" s="130">
        <v>2</v>
      </c>
      <c r="C9" s="129" t="s">
        <v>146</v>
      </c>
      <c r="D9" s="123" t="s">
        <v>115</v>
      </c>
      <c r="E9" s="122" t="s">
        <v>129</v>
      </c>
      <c r="F9" s="125">
        <v>44812</v>
      </c>
      <c r="G9" s="127">
        <v>0.29166666666666702</v>
      </c>
    </row>
    <row r="10" spans="1:21" x14ac:dyDescent="0.25">
      <c r="A10" s="128">
        <v>9</v>
      </c>
      <c r="B10" s="130">
        <v>2.25</v>
      </c>
      <c r="C10" s="129" t="s">
        <v>147</v>
      </c>
      <c r="D10" s="123" t="s">
        <v>117</v>
      </c>
      <c r="E10" s="122" t="s">
        <v>130</v>
      </c>
      <c r="F10" s="125">
        <v>44813</v>
      </c>
      <c r="G10" s="127">
        <v>0.33333333333333298</v>
      </c>
    </row>
    <row r="11" spans="1:21" x14ac:dyDescent="0.25">
      <c r="A11" s="128">
        <v>10</v>
      </c>
      <c r="B11" s="130">
        <v>2.5</v>
      </c>
      <c r="C11" s="129" t="s">
        <v>148</v>
      </c>
      <c r="D11" s="123" t="s">
        <v>118</v>
      </c>
      <c r="E11" s="122" t="s">
        <v>131</v>
      </c>
      <c r="F11" s="125">
        <v>44814</v>
      </c>
      <c r="G11" s="127">
        <v>0.375</v>
      </c>
    </row>
    <row r="12" spans="1:21" x14ac:dyDescent="0.25">
      <c r="A12" s="128">
        <v>11</v>
      </c>
      <c r="B12" s="130">
        <v>2.75</v>
      </c>
      <c r="C12" s="129" t="s">
        <v>149</v>
      </c>
      <c r="D12" s="123" t="s">
        <v>119</v>
      </c>
      <c r="E12" s="122" t="s">
        <v>132</v>
      </c>
      <c r="F12" s="125">
        <v>44815</v>
      </c>
      <c r="G12" s="127">
        <v>0.41666666666666702</v>
      </c>
    </row>
    <row r="13" spans="1:21" x14ac:dyDescent="0.25">
      <c r="A13" s="128">
        <v>12</v>
      </c>
      <c r="B13" s="130">
        <v>3</v>
      </c>
      <c r="C13" s="129" t="s">
        <v>139</v>
      </c>
      <c r="D13" s="123" t="s">
        <v>120</v>
      </c>
      <c r="E13" s="122" t="s">
        <v>133</v>
      </c>
      <c r="F13" s="125">
        <v>44816</v>
      </c>
      <c r="G13" s="127">
        <v>0.45833333333333298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B8AC-09BD-41EA-AD96-E9EEC5276A50}">
  <dimension ref="A1:Q7"/>
  <sheetViews>
    <sheetView zoomScale="130" zoomScaleNormal="130" workbookViewId="0">
      <selection activeCell="B9" sqref="B9"/>
    </sheetView>
  </sheetViews>
  <sheetFormatPr baseColWidth="10" defaultRowHeight="15" x14ac:dyDescent="0.25"/>
  <cols>
    <col min="1" max="1" width="11.85546875" bestFit="1" customWidth="1"/>
    <col min="2" max="5" width="7.7109375" customWidth="1"/>
    <col min="6" max="6" width="2.7109375" customWidth="1"/>
    <col min="8" max="11" width="7.7109375" customWidth="1"/>
    <col min="12" max="12" width="2.7109375" customWidth="1"/>
    <col min="13" max="13" width="20.28515625" bestFit="1" customWidth="1"/>
    <col min="14" max="17" width="9.7109375" customWidth="1"/>
  </cols>
  <sheetData>
    <row r="1" spans="1:17" ht="60.75" customHeight="1" x14ac:dyDescent="0.25">
      <c r="A1" s="54" t="s">
        <v>76</v>
      </c>
      <c r="B1" s="107" t="s">
        <v>95</v>
      </c>
      <c r="C1" s="107"/>
      <c r="D1" s="107"/>
      <c r="E1" s="107"/>
      <c r="F1" s="48"/>
      <c r="G1" s="54" t="s">
        <v>77</v>
      </c>
      <c r="H1" s="107" t="s">
        <v>86</v>
      </c>
      <c r="I1" s="107"/>
      <c r="J1" s="107"/>
      <c r="K1" s="107"/>
      <c r="M1" s="54" t="s">
        <v>96</v>
      </c>
      <c r="N1" s="112" t="s">
        <v>100</v>
      </c>
      <c r="O1" s="112"/>
      <c r="P1" s="112"/>
      <c r="Q1" s="112"/>
    </row>
    <row r="2" spans="1:17" x14ac:dyDescent="0.25">
      <c r="A2" s="23" t="s">
        <v>78</v>
      </c>
      <c r="B2" s="24" t="s">
        <v>79</v>
      </c>
      <c r="C2" s="24" t="s">
        <v>80</v>
      </c>
      <c r="D2" s="24" t="s">
        <v>87</v>
      </c>
      <c r="E2" s="50" t="s">
        <v>81</v>
      </c>
      <c r="G2" s="23" t="s">
        <v>78</v>
      </c>
      <c r="H2" s="24" t="s">
        <v>79</v>
      </c>
      <c r="I2" s="24" t="s">
        <v>80</v>
      </c>
      <c r="J2" s="24" t="s">
        <v>87</v>
      </c>
      <c r="K2" s="50" t="s">
        <v>81</v>
      </c>
      <c r="M2" s="23" t="s">
        <v>97</v>
      </c>
      <c r="N2" s="108" t="s">
        <v>94</v>
      </c>
      <c r="O2" s="108"/>
      <c r="P2" s="108"/>
      <c r="Q2" s="109"/>
    </row>
    <row r="3" spans="1:17" x14ac:dyDescent="0.25">
      <c r="A3" s="26" t="s">
        <v>82</v>
      </c>
      <c r="B3" s="51">
        <v>8</v>
      </c>
      <c r="C3" s="51">
        <v>8</v>
      </c>
      <c r="D3" s="51">
        <v>12</v>
      </c>
      <c r="E3" s="6">
        <f>B3+C3+D3</f>
        <v>28</v>
      </c>
      <c r="G3" s="26" t="s">
        <v>82</v>
      </c>
      <c r="H3" s="51">
        <v>8</v>
      </c>
      <c r="I3" s="51">
        <v>8</v>
      </c>
      <c r="J3" s="51">
        <v>12</v>
      </c>
      <c r="K3" s="6">
        <f>SUM(G3:J3)</f>
        <v>28</v>
      </c>
      <c r="M3" s="26" t="e">
        <f>$B3+$C3+D3+A3</f>
        <v>#VALUE!</v>
      </c>
      <c r="N3" s="110" t="s">
        <v>90</v>
      </c>
      <c r="O3" s="110"/>
      <c r="P3" s="110"/>
      <c r="Q3" s="111"/>
    </row>
    <row r="4" spans="1:17" x14ac:dyDescent="0.25">
      <c r="A4" s="29" t="s">
        <v>83</v>
      </c>
      <c r="B4" s="52">
        <v>53</v>
      </c>
      <c r="C4" s="52">
        <v>20</v>
      </c>
      <c r="D4" s="52">
        <v>14</v>
      </c>
      <c r="E4" s="53">
        <f>B4-C4-D4</f>
        <v>19</v>
      </c>
      <c r="G4" s="29" t="s">
        <v>89</v>
      </c>
      <c r="H4" s="52">
        <v>53</v>
      </c>
      <c r="I4" s="52">
        <v>20</v>
      </c>
      <c r="J4" s="52">
        <v>14</v>
      </c>
      <c r="K4" s="53">
        <f>AVERAGE(G4:J4)</f>
        <v>29</v>
      </c>
      <c r="M4" s="29" t="e" cm="1">
        <f t="array" ref="M4">$B4-$C4-D4-resta</f>
        <v>#NAME?</v>
      </c>
      <c r="N4" s="105" t="s">
        <v>91</v>
      </c>
      <c r="O4" s="105"/>
      <c r="P4" s="105"/>
      <c r="Q4" s="106"/>
    </row>
    <row r="5" spans="1:17" x14ac:dyDescent="0.25">
      <c r="A5" s="26" t="s">
        <v>84</v>
      </c>
      <c r="B5" s="51">
        <v>3</v>
      </c>
      <c r="C5" s="51">
        <v>8</v>
      </c>
      <c r="D5" s="51">
        <f>$B5*$C5</f>
        <v>24</v>
      </c>
      <c r="E5" s="6">
        <f>B5*C5*D5</f>
        <v>576</v>
      </c>
      <c r="G5" s="26" t="s">
        <v>84</v>
      </c>
      <c r="H5" s="51">
        <v>3</v>
      </c>
      <c r="I5" s="51">
        <v>8</v>
      </c>
      <c r="J5" s="51">
        <f>$B5*$C5</f>
        <v>24</v>
      </c>
      <c r="K5" s="6">
        <f>PRODUCT(H5:J5)</f>
        <v>576</v>
      </c>
      <c r="M5" s="26" t="e">
        <f>-D5*[1]pepe!A3</f>
        <v>#REF!</v>
      </c>
      <c r="N5" s="103" t="s">
        <v>93</v>
      </c>
      <c r="O5" s="103"/>
      <c r="P5" s="103"/>
      <c r="Q5" s="104"/>
    </row>
    <row r="6" spans="1:17" x14ac:dyDescent="0.25">
      <c r="A6" s="21" t="s">
        <v>85</v>
      </c>
      <c r="B6" s="22">
        <v>4</v>
      </c>
      <c r="C6" s="22">
        <v>8</v>
      </c>
      <c r="D6" s="22">
        <f>$B6/$C6</f>
        <v>0.5</v>
      </c>
      <c r="E6" s="49">
        <f>B6/C6/D6</f>
        <v>1</v>
      </c>
      <c r="G6" s="21" t="s">
        <v>88</v>
      </c>
      <c r="H6" s="22">
        <v>4</v>
      </c>
      <c r="I6" s="22">
        <v>8</v>
      </c>
      <c r="J6" s="22">
        <f>$B6/$C6</f>
        <v>0.5</v>
      </c>
      <c r="K6" s="49">
        <f>MOD(H6,I6)</f>
        <v>4</v>
      </c>
      <c r="M6" s="21" t="e">
        <f>$B6/$C6/D6/0</f>
        <v>#DIV/0!</v>
      </c>
      <c r="N6" s="105" t="s">
        <v>92</v>
      </c>
      <c r="O6" s="105"/>
      <c r="P6" s="105"/>
      <c r="Q6" s="106"/>
    </row>
    <row r="7" spans="1:17" x14ac:dyDescent="0.25">
      <c r="A7" s="26" t="s">
        <v>99</v>
      </c>
      <c r="B7" s="51">
        <v>2</v>
      </c>
      <c r="C7" s="51">
        <v>1</v>
      </c>
      <c r="D7" s="51">
        <v>2</v>
      </c>
      <c r="E7" s="6">
        <f>B7^C7^D7</f>
        <v>4</v>
      </c>
      <c r="G7" s="26" t="s">
        <v>99</v>
      </c>
      <c r="H7" s="51">
        <v>2</v>
      </c>
      <c r="I7" s="51">
        <v>1</v>
      </c>
      <c r="J7" s="51">
        <v>2</v>
      </c>
      <c r="K7" s="6">
        <f>POWER(H7,I7)</f>
        <v>2</v>
      </c>
      <c r="M7" s="26" t="e" cm="1" vm="1">
        <f t="array" aca="1" ref="M7" ca="1">A:A</f>
        <v>#VALUE!</v>
      </c>
      <c r="N7" s="103" t="s">
        <v>98</v>
      </c>
      <c r="O7" s="103"/>
      <c r="P7" s="103"/>
      <c r="Q7" s="104"/>
    </row>
  </sheetData>
  <mergeCells count="9">
    <mergeCell ref="N7:Q7"/>
    <mergeCell ref="N4:Q4"/>
    <mergeCell ref="N5:Q5"/>
    <mergeCell ref="N6:Q6"/>
    <mergeCell ref="B1:E1"/>
    <mergeCell ref="H1:K1"/>
    <mergeCell ref="N2:Q2"/>
    <mergeCell ref="N3:Q3"/>
    <mergeCell ref="N1:Q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201E-A01B-475D-B6B7-7FA9E8CFEA3C}">
  <dimension ref="A1:O11"/>
  <sheetViews>
    <sheetView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2" max="2" width="10.140625" bestFit="1" customWidth="1"/>
    <col min="3" max="3" width="0.85546875" customWidth="1"/>
    <col min="4" max="4" width="18.140625" bestFit="1" customWidth="1"/>
    <col min="5" max="5" width="10.5703125" customWidth="1"/>
    <col min="6" max="6" width="9.85546875" customWidth="1"/>
    <col min="7" max="7" width="13.85546875" customWidth="1"/>
    <col min="8" max="8" width="7.42578125" bestFit="1" customWidth="1"/>
    <col min="9" max="9" width="11.28515625" customWidth="1"/>
    <col min="10" max="10" width="8.28515625" hidden="1" customWidth="1"/>
    <col min="11" max="11" width="8.140625" hidden="1" customWidth="1"/>
    <col min="12" max="12" width="9.42578125" hidden="1" customWidth="1"/>
    <col min="13" max="13" width="15" bestFit="1" customWidth="1"/>
    <col min="14" max="14" width="8.140625" bestFit="1" customWidth="1"/>
    <col min="15" max="15" width="8.42578125" bestFit="1" customWidth="1"/>
  </cols>
  <sheetData>
    <row r="1" spans="1:15" x14ac:dyDescent="0.25">
      <c r="A1" t="s">
        <v>208</v>
      </c>
      <c r="B1" t="s">
        <v>217</v>
      </c>
      <c r="D1" s="99" t="s">
        <v>203</v>
      </c>
      <c r="E1" s="99" t="s">
        <v>213</v>
      </c>
      <c r="F1" s="99" t="s">
        <v>214</v>
      </c>
      <c r="G1" s="99" t="s">
        <v>204</v>
      </c>
      <c r="H1" s="99" t="s">
        <v>205</v>
      </c>
      <c r="I1" s="99" t="s">
        <v>206</v>
      </c>
      <c r="J1" s="99" t="s">
        <v>207</v>
      </c>
      <c r="K1" s="99" t="s">
        <v>215</v>
      </c>
      <c r="L1" s="99" t="s">
        <v>216</v>
      </c>
      <c r="M1" s="115" t="s">
        <v>218</v>
      </c>
      <c r="N1" s="115" t="s">
        <v>229</v>
      </c>
      <c r="O1" s="115" t="s">
        <v>230</v>
      </c>
    </row>
    <row r="2" spans="1:15" x14ac:dyDescent="0.25">
      <c r="D2" s="51" t="str">
        <f>asistencia!A2</f>
        <v>Racedo, Cristián</v>
      </c>
      <c r="E2" s="51" t="str">
        <f>LEFT(Tabla4[[#This Row],[EMPLEADO]], Tabla4[[#This Row],[CHAR]] - 1)</f>
        <v>Racedo</v>
      </c>
      <c r="F2" s="51" t="str">
        <f>RIGHT(Tabla4[[#This Row],[EMPLEADO]], Tabla4[[#This Row],[LARGO]] - (LEN(Tabla4[[#This Row],[APELLIDO]]) + 2))</f>
        <v>Cristián</v>
      </c>
      <c r="G2" s="51" t="str">
        <f>introduccion!D2</f>
        <v>20-35336446-5</v>
      </c>
      <c r="H2" s="51" t="str">
        <f>LEFT(Tabla4[[#This Row],[CUIL]],2)</f>
        <v>20</v>
      </c>
      <c r="I2" s="113" t="str">
        <f>MID(Tabla4[[#This Row],[CUIL]],4,8)</f>
        <v>35336446</v>
      </c>
      <c r="J2" s="51" t="str">
        <f>RIGHT(Tabla4[[#This Row],[CUIL]],1)</f>
        <v>5</v>
      </c>
      <c r="K2" s="51">
        <f>FIND(separador,Tabla4[[#This Row],[EMPLEADO]])</f>
        <v>7</v>
      </c>
      <c r="L2" s="51">
        <f>LEN(Tabla4[[#This Row],[EMPLEADO]])</f>
        <v>16</v>
      </c>
      <c r="M2" s="116">
        <f>introduccion!E2</f>
        <v>33346</v>
      </c>
      <c r="N2" s="118">
        <f ca="1">(datos_hoy - Tabla4[[#This Row],[NACIMIENTO]]) / 365</f>
        <v>31.490410958904111</v>
      </c>
      <c r="O2" s="120">
        <f ca="1">$B$6 - YEAR(Tabla4[[#This Row],[NACIMIENTO]])</f>
        <v>31</v>
      </c>
    </row>
    <row r="3" spans="1:15" x14ac:dyDescent="0.25">
      <c r="A3" t="s">
        <v>228</v>
      </c>
      <c r="B3" t="s">
        <v>227</v>
      </c>
      <c r="D3" s="52" t="str">
        <f>asistencia!A3</f>
        <v>Perez, Juan</v>
      </c>
      <c r="E3" s="52" t="str">
        <f>LEFT(Tabla4[[#This Row],[EMPLEADO]], Tabla4[[#This Row],[CHAR]] - 1)</f>
        <v>Perez</v>
      </c>
      <c r="F3" s="52" t="str">
        <f>RIGHT(Tabla4[[#This Row],[EMPLEADO]], Tabla4[[#This Row],[LARGO]] - (LEN(Tabla4[[#This Row],[APELLIDO]]) + 2))</f>
        <v>Juan</v>
      </c>
      <c r="G3" s="52" t="str">
        <f>introduccion!D3</f>
        <v>20-43128323-1</v>
      </c>
      <c r="H3" s="52" t="str">
        <f>LEFT(Tabla4[[#This Row],[CUIL]],2)</f>
        <v>20</v>
      </c>
      <c r="I3" s="114" t="str">
        <f>MID(Tabla4[[#This Row],[CUIL]],4,8)</f>
        <v>43128323</v>
      </c>
      <c r="J3" s="52" t="str">
        <f>RIGHT(Tabla4[[#This Row],[CUIL]],1)</f>
        <v>1</v>
      </c>
      <c r="K3" s="52">
        <f>FIND(separador,Tabla4[[#This Row],[EMPLEADO]])</f>
        <v>6</v>
      </c>
      <c r="L3" s="52">
        <f>LEN(Tabla4[[#This Row],[EMPLEADO]])</f>
        <v>11</v>
      </c>
      <c r="M3" s="116">
        <f>introduccion!E3</f>
        <v>35632</v>
      </c>
      <c r="N3" s="118">
        <f ca="1">(datos_hoy - Tabla4[[#This Row],[NACIMIENTO]]) / 365</f>
        <v>25.227397260273971</v>
      </c>
      <c r="O3" s="120">
        <f ca="1">$B$6 - YEAR(Tabla4[[#This Row],[NACIMIENTO]])</f>
        <v>25</v>
      </c>
    </row>
    <row r="4" spans="1:15" x14ac:dyDescent="0.25">
      <c r="A4" t="s">
        <v>219</v>
      </c>
      <c r="B4" s="70">
        <f ca="1">TODAY()</f>
        <v>44840</v>
      </c>
      <c r="C4" s="119"/>
      <c r="D4" s="51" t="str">
        <f>asistencia!A4</f>
        <v>Gomez, Gonzalo</v>
      </c>
      <c r="E4" s="51" t="str">
        <f>LEFT(Tabla4[[#This Row],[EMPLEADO]], Tabla4[[#This Row],[CHAR]] - 1)</f>
        <v>Gomez</v>
      </c>
      <c r="F4" s="51" t="str">
        <f>RIGHT(Tabla4[[#This Row],[EMPLEADO]], Tabla4[[#This Row],[LARGO]] - (LEN(Tabla4[[#This Row],[APELLIDO]]) + 2))</f>
        <v>Gonzalo</v>
      </c>
      <c r="G4" s="51" t="str">
        <f>introduccion!D4</f>
        <v>20-30283492-6</v>
      </c>
      <c r="H4" s="51" t="str">
        <f>LEFT(Tabla4[[#This Row],[CUIL]],2)</f>
        <v>20</v>
      </c>
      <c r="I4" s="113" t="str">
        <f>MID(Tabla4[[#This Row],[CUIL]],4,8)</f>
        <v>30283492</v>
      </c>
      <c r="J4" s="51" t="str">
        <f>RIGHT(Tabla4[[#This Row],[CUIL]],1)</f>
        <v>6</v>
      </c>
      <c r="K4" s="51">
        <f>FIND(separador,Tabla4[[#This Row],[EMPLEADO]])</f>
        <v>6</v>
      </c>
      <c r="L4" s="51">
        <f>LEN(Tabla4[[#This Row],[EMPLEADO]])</f>
        <v>14</v>
      </c>
      <c r="M4" s="116">
        <f>introduccion!E4</f>
        <v>32048</v>
      </c>
      <c r="N4" s="118">
        <f ca="1">(datos_hoy - Tabla4[[#This Row],[NACIMIENTO]]) / 365</f>
        <v>35.046575342465751</v>
      </c>
      <c r="O4" s="120">
        <f ca="1">$B$6 - YEAR(Tabla4[[#This Row],[NACIMIENTO]])</f>
        <v>35</v>
      </c>
    </row>
    <row r="5" spans="1:15" x14ac:dyDescent="0.25">
      <c r="A5" t="s">
        <v>220</v>
      </c>
      <c r="B5" s="117">
        <f ca="1">NOW()</f>
        <v>44840.504845833333</v>
      </c>
      <c r="D5" s="52" t="str">
        <f>asistencia!A5</f>
        <v>Fernandez, Daniela</v>
      </c>
      <c r="E5" s="52" t="str">
        <f>LEFT(Tabla4[[#This Row],[EMPLEADO]], Tabla4[[#This Row],[CHAR]] - 1)</f>
        <v>Fernandez</v>
      </c>
      <c r="F5" s="52" t="str">
        <f>RIGHT(Tabla4[[#This Row],[EMPLEADO]], Tabla4[[#This Row],[LARGO]] - (LEN(Tabla4[[#This Row],[APELLIDO]]) + 2))</f>
        <v>Daniela</v>
      </c>
      <c r="G5" s="52" t="str">
        <f>introduccion!D5</f>
        <v>27-33230498-2</v>
      </c>
      <c r="H5" s="52" t="str">
        <f>LEFT(Tabla4[[#This Row],[CUIL]],2)</f>
        <v>27</v>
      </c>
      <c r="I5" s="114" t="str">
        <f>MID(Tabla4[[#This Row],[CUIL]],4,8)</f>
        <v>33230498</v>
      </c>
      <c r="J5" s="52" t="str">
        <f>RIGHT(Tabla4[[#This Row],[CUIL]],1)</f>
        <v>2</v>
      </c>
      <c r="K5" s="52">
        <f>FIND(separador,Tabla4[[#This Row],[EMPLEADO]])</f>
        <v>10</v>
      </c>
      <c r="L5" s="52">
        <f>LEN(Tabla4[[#This Row],[EMPLEADO]])</f>
        <v>18</v>
      </c>
      <c r="M5" s="116">
        <f>introduccion!E5</f>
        <v>32745</v>
      </c>
      <c r="N5" s="118">
        <f ca="1">(datos_hoy - Tabla4[[#This Row],[NACIMIENTO]]) / 365</f>
        <v>33.136986301369866</v>
      </c>
      <c r="O5" s="120">
        <f ca="1">$B$6 - YEAR(Tabla4[[#This Row],[NACIMIENTO]])</f>
        <v>33</v>
      </c>
    </row>
    <row r="6" spans="1:15" x14ac:dyDescent="0.25">
      <c r="A6" t="s">
        <v>223</v>
      </c>
      <c r="B6">
        <f ca="1">YEAR(datos_hoy)</f>
        <v>2022</v>
      </c>
      <c r="D6" s="51" t="str">
        <f>asistencia!A6</f>
        <v>Lopez, Carla</v>
      </c>
      <c r="E6" s="51" t="str">
        <f>LEFT(Tabla4[[#This Row],[EMPLEADO]], Tabla4[[#This Row],[CHAR]] - 1)</f>
        <v>Lopez</v>
      </c>
      <c r="F6" s="51" t="str">
        <f>RIGHT(Tabla4[[#This Row],[EMPLEADO]], Tabla4[[#This Row],[LARGO]] - (LEN(Tabla4[[#This Row],[APELLIDO]]) + 2))</f>
        <v>Carla</v>
      </c>
      <c r="G6" s="51" t="str">
        <f>introduccion!D6</f>
        <v>27-38578293-4</v>
      </c>
      <c r="H6" s="51" t="str">
        <f>LEFT(Tabla4[[#This Row],[CUIL]],2)</f>
        <v>27</v>
      </c>
      <c r="I6" s="113" t="str">
        <f>MID(Tabla4[[#This Row],[CUIL]],4,8)</f>
        <v>38578293</v>
      </c>
      <c r="J6" s="51" t="str">
        <f>RIGHT(Tabla4[[#This Row],[CUIL]],1)</f>
        <v>4</v>
      </c>
      <c r="K6" s="51">
        <f>FIND(separador,Tabla4[[#This Row],[EMPLEADO]])</f>
        <v>6</v>
      </c>
      <c r="L6" s="51">
        <f>LEN(Tabla4[[#This Row],[EMPLEADO]])</f>
        <v>12</v>
      </c>
      <c r="M6" s="116">
        <f>introduccion!E6</f>
        <v>34169</v>
      </c>
      <c r="N6" s="118">
        <f ca="1">(datos_hoy - Tabla4[[#This Row],[NACIMIENTO]]) / 365</f>
        <v>29.235616438356164</v>
      </c>
      <c r="O6" s="120">
        <f ca="1">$B$6 - YEAR(Tabla4[[#This Row],[NACIMIENTO]])</f>
        <v>29</v>
      </c>
    </row>
    <row r="7" spans="1:15" x14ac:dyDescent="0.25">
      <c r="A7" t="s">
        <v>222</v>
      </c>
      <c r="B7">
        <f ca="1">MONTH(datos_hoy)</f>
        <v>10</v>
      </c>
      <c r="D7" s="52" t="str">
        <f>asistencia!A7</f>
        <v>Martinez, Mariano</v>
      </c>
      <c r="E7" s="52" t="str">
        <f>LEFT(Tabla4[[#This Row],[EMPLEADO]], Tabla4[[#This Row],[CHAR]] - 1)</f>
        <v>Martinez</v>
      </c>
      <c r="F7" s="52" t="str">
        <f>RIGHT(Tabla4[[#This Row],[EMPLEADO]], Tabla4[[#This Row],[LARGO]] - (LEN(Tabla4[[#This Row],[APELLIDO]]) + 2))</f>
        <v>Mariano</v>
      </c>
      <c r="G7" s="52" t="str">
        <f>introduccion!D7</f>
        <v>20-28234973-3</v>
      </c>
      <c r="H7" s="52" t="str">
        <f>LEFT(Tabla4[[#This Row],[CUIL]],2)</f>
        <v>20</v>
      </c>
      <c r="I7" s="114" t="str">
        <f>MID(Tabla4[[#This Row],[CUIL]],4,8)</f>
        <v>28234973</v>
      </c>
      <c r="J7" s="52" t="str">
        <f>RIGHT(Tabla4[[#This Row],[CUIL]],1)</f>
        <v>3</v>
      </c>
      <c r="K7" s="52">
        <f>FIND(separador,Tabla4[[#This Row],[EMPLEADO]])</f>
        <v>9</v>
      </c>
      <c r="L7" s="52">
        <f>LEN(Tabla4[[#This Row],[EMPLEADO]])</f>
        <v>17</v>
      </c>
      <c r="M7" s="116">
        <f>introduccion!E7</f>
        <v>31901</v>
      </c>
      <c r="N7" s="118">
        <f ca="1">(datos_hoy - Tabla4[[#This Row],[NACIMIENTO]]) / 365</f>
        <v>35.449315068493149</v>
      </c>
      <c r="O7" s="120">
        <f ca="1">$B$6 - YEAR(Tabla4[[#This Row],[NACIMIENTO]])</f>
        <v>35</v>
      </c>
    </row>
    <row r="8" spans="1:15" x14ac:dyDescent="0.25">
      <c r="A8" t="s">
        <v>221</v>
      </c>
      <c r="B8">
        <f ca="1">DAY(datos_hoy)</f>
        <v>6</v>
      </c>
      <c r="D8" s="51" t="str">
        <f>asistencia!A8</f>
        <v>Gonzalez, Gonzalo</v>
      </c>
      <c r="E8" s="51" t="str">
        <f>LEFT(Tabla4[[#This Row],[EMPLEADO]], Tabla4[[#This Row],[CHAR]] - 1)</f>
        <v>Gonzalez</v>
      </c>
      <c r="F8" s="51" t="str">
        <f>RIGHT(Tabla4[[#This Row],[EMPLEADO]], Tabla4[[#This Row],[LARGO]] - (LEN(Tabla4[[#This Row],[APELLIDO]]) + 2))</f>
        <v>Gonzalo</v>
      </c>
      <c r="G8" s="51" t="str">
        <f>introduccion!D8</f>
        <v>20-39128371-1</v>
      </c>
      <c r="H8" s="51" t="str">
        <f>LEFT(Tabla4[[#This Row],[CUIL]],2)</f>
        <v>20</v>
      </c>
      <c r="I8" s="113" t="str">
        <f>MID(Tabla4[[#This Row],[CUIL]],4,8)</f>
        <v>39128371</v>
      </c>
      <c r="J8" s="51" t="str">
        <f>RIGHT(Tabla4[[#This Row],[CUIL]],1)</f>
        <v>1</v>
      </c>
      <c r="K8" s="51">
        <f>FIND(separador,Tabla4[[#This Row],[EMPLEADO]])</f>
        <v>9</v>
      </c>
      <c r="L8" s="51">
        <f>LEN(Tabla4[[#This Row],[EMPLEADO]])</f>
        <v>17</v>
      </c>
      <c r="M8" s="116">
        <f>introduccion!E8</f>
        <v>34553</v>
      </c>
      <c r="N8" s="118">
        <f ca="1">(datos_hoy - Tabla4[[#This Row],[NACIMIENTO]]) / 365</f>
        <v>28.183561643835617</v>
      </c>
      <c r="O8" s="120">
        <f ca="1">$B$6 - YEAR(Tabla4[[#This Row],[NACIMIENTO]])</f>
        <v>28</v>
      </c>
    </row>
    <row r="9" spans="1:15" x14ac:dyDescent="0.25">
      <c r="A9" t="s">
        <v>224</v>
      </c>
      <c r="B9">
        <f ca="1">HOUR(B5)</f>
        <v>12</v>
      </c>
      <c r="D9" s="52" t="str">
        <f>asistencia!A9</f>
        <v>Jimenez, Jorge</v>
      </c>
      <c r="E9" s="52" t="str">
        <f>LEFT(Tabla4[[#This Row],[EMPLEADO]], Tabla4[[#This Row],[CHAR]] - 1)</f>
        <v>Jimenez</v>
      </c>
      <c r="F9" s="52" t="str">
        <f>RIGHT(Tabla4[[#This Row],[EMPLEADO]], Tabla4[[#This Row],[LARGO]] - (LEN(Tabla4[[#This Row],[APELLIDO]]) + 2))</f>
        <v>Jorge</v>
      </c>
      <c r="G9" s="52" t="str">
        <f>introduccion!D9</f>
        <v>20-45019105-2</v>
      </c>
      <c r="H9" s="52" t="str">
        <f>LEFT(Tabla4[[#This Row],[CUIL]],2)</f>
        <v>20</v>
      </c>
      <c r="I9" s="114" t="str">
        <f>MID(Tabla4[[#This Row],[CUIL]],4,8)</f>
        <v>45019105</v>
      </c>
      <c r="J9" s="52" t="str">
        <f>RIGHT(Tabla4[[#This Row],[CUIL]],1)</f>
        <v>2</v>
      </c>
      <c r="K9" s="52">
        <f>FIND(separador,Tabla4[[#This Row],[EMPLEADO]])</f>
        <v>8</v>
      </c>
      <c r="L9" s="52">
        <f>LEN(Tabla4[[#This Row],[EMPLEADO]])</f>
        <v>14</v>
      </c>
      <c r="M9" s="116">
        <f>introduccion!E9</f>
        <v>37891</v>
      </c>
      <c r="N9" s="118">
        <f ca="1">(datos_hoy - Tabla4[[#This Row],[NACIMIENTO]]) / 365</f>
        <v>19.038356164383561</v>
      </c>
      <c r="O9" s="120">
        <f ca="1">$B$6 - YEAR(Tabla4[[#This Row],[NACIMIENTO]])</f>
        <v>19</v>
      </c>
    </row>
    <row r="10" spans="1:15" x14ac:dyDescent="0.25">
      <c r="A10" t="s">
        <v>225</v>
      </c>
      <c r="B10">
        <f ca="1">MINUTE(B5)</f>
        <v>6</v>
      </c>
      <c r="D10" s="51" t="str">
        <f>asistencia!A10</f>
        <v>Gimenez, Gabriela</v>
      </c>
      <c r="E10" s="51" t="str">
        <f>LEFT(Tabla4[[#This Row],[EMPLEADO]], Tabla4[[#This Row],[CHAR]] - 1)</f>
        <v>Gimenez</v>
      </c>
      <c r="F10" s="51" t="str">
        <f>RIGHT(Tabla4[[#This Row],[EMPLEADO]], Tabla4[[#This Row],[LARGO]] - (LEN(Tabla4[[#This Row],[APELLIDO]]) + 2))</f>
        <v>Gabriela</v>
      </c>
      <c r="G10" s="51" t="str">
        <f>introduccion!D10</f>
        <v>27-31203948-8</v>
      </c>
      <c r="H10" s="51" t="str">
        <f>LEFT(Tabla4[[#This Row],[CUIL]],2)</f>
        <v>27</v>
      </c>
      <c r="I10" s="113" t="str">
        <f>MID(Tabla4[[#This Row],[CUIL]],4,8)</f>
        <v>31203948</v>
      </c>
      <c r="J10" s="51" t="str">
        <f>RIGHT(Tabla4[[#This Row],[CUIL]],1)</f>
        <v>8</v>
      </c>
      <c r="K10" s="51">
        <f>FIND(separador,Tabla4[[#This Row],[EMPLEADO]])</f>
        <v>8</v>
      </c>
      <c r="L10" s="51">
        <f>LEN(Tabla4[[#This Row],[EMPLEADO]])</f>
        <v>17</v>
      </c>
      <c r="M10" s="116">
        <f>introduccion!E10</f>
        <v>31458</v>
      </c>
      <c r="N10" s="118">
        <f ca="1">(datos_hoy - Tabla4[[#This Row],[NACIMIENTO]]) / 365</f>
        <v>36.663013698630138</v>
      </c>
      <c r="O10" s="120">
        <f ca="1">$B$6 - YEAR(Tabla4[[#This Row],[NACIMIENTO]])</f>
        <v>36</v>
      </c>
    </row>
    <row r="11" spans="1:15" x14ac:dyDescent="0.25">
      <c r="A11" t="s">
        <v>226</v>
      </c>
      <c r="B11">
        <f ca="1">SECOND(B5)</f>
        <v>59</v>
      </c>
      <c r="D11" s="52" t="str">
        <f>asistencia!A11</f>
        <v>Lopez, Laura</v>
      </c>
      <c r="E11" s="52" t="str">
        <f>LEFT(Tabla4[[#This Row],[EMPLEADO]], Tabla4[[#This Row],[CHAR]] - 1)</f>
        <v>Lopez</v>
      </c>
      <c r="F11" s="52" t="str">
        <f>RIGHT(Tabla4[[#This Row],[EMPLEADO]], Tabla4[[#This Row],[LARGO]] - (LEN(Tabla4[[#This Row],[APELLIDO]]) + 2))</f>
        <v>Laura</v>
      </c>
      <c r="G11" s="52" t="str">
        <f>introduccion!D11</f>
        <v>27-30192834-4</v>
      </c>
      <c r="H11" s="52" t="str">
        <f>LEFT(Tabla4[[#This Row],[CUIL]],2)</f>
        <v>27</v>
      </c>
      <c r="I11" s="114" t="str">
        <f>MID(Tabla4[[#This Row],[CUIL]],4,8)</f>
        <v>30192834</v>
      </c>
      <c r="J11" s="52" t="str">
        <f>RIGHT(Tabla4[[#This Row],[CUIL]],1)</f>
        <v>4</v>
      </c>
      <c r="K11" s="52">
        <f>FIND(separador,Tabla4[[#This Row],[EMPLEADO]])</f>
        <v>6</v>
      </c>
      <c r="L11" s="52">
        <f>LEN(Tabla4[[#This Row],[EMPLEADO]])</f>
        <v>12</v>
      </c>
      <c r="M11" s="116">
        <f>introduccion!E11</f>
        <v>31130</v>
      </c>
      <c r="N11" s="118">
        <f ca="1">(datos_hoy - Tabla4[[#This Row],[NACIMIENTO]]) / 365</f>
        <v>37.561643835616437</v>
      </c>
      <c r="O11" s="120">
        <f ca="1">$B$6 - YEAR(Tabla4[[#This Row],[NACIMIENTO]])</f>
        <v>37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092-0CDD-4546-9420-12554152D19D}">
  <sheetPr>
    <pageSetUpPr fitToPage="1"/>
  </sheetPr>
  <dimension ref="A1:AP16"/>
  <sheetViews>
    <sheetView zoomScale="115" zoomScaleNormal="115" workbookViewId="0">
      <pane xSplit="1" ySplit="1" topLeftCell="R6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20" bestFit="1" customWidth="1"/>
    <col min="2" max="31" width="5.140625" style="72" customWidth="1"/>
    <col min="32" max="32" width="6.28515625" customWidth="1"/>
    <col min="33" max="33" width="7.42578125" customWidth="1"/>
    <col min="34" max="34" width="13.7109375" bestFit="1" customWidth="1"/>
    <col min="35" max="35" width="4" customWidth="1"/>
    <col min="36" max="36" width="11.85546875" bestFit="1" customWidth="1"/>
    <col min="37" max="37" width="7.140625" bestFit="1" customWidth="1"/>
    <col min="38" max="38" width="7.7109375" bestFit="1" customWidth="1"/>
    <col min="39" max="39" width="13.7109375" bestFit="1" customWidth="1"/>
    <col min="40" max="40" width="5.28515625" bestFit="1" customWidth="1"/>
    <col min="41" max="41" width="11.28515625" bestFit="1" customWidth="1"/>
    <col min="42" max="42" width="7.7109375" bestFit="1" customWidth="1"/>
    <col min="43" max="43" width="9" customWidth="1"/>
  </cols>
  <sheetData>
    <row r="1" spans="1:42" ht="47.25" customHeight="1" x14ac:dyDescent="0.25">
      <c r="A1" s="121" t="s">
        <v>233</v>
      </c>
      <c r="B1" s="75" t="s">
        <v>159</v>
      </c>
      <c r="C1" s="75" t="s">
        <v>160</v>
      </c>
      <c r="D1" s="75" t="s">
        <v>161</v>
      </c>
      <c r="E1" s="75" t="s">
        <v>162</v>
      </c>
      <c r="F1" s="75" t="s">
        <v>163</v>
      </c>
      <c r="G1" s="75" t="s">
        <v>164</v>
      </c>
      <c r="H1" s="75" t="s">
        <v>165</v>
      </c>
      <c r="I1" s="75" t="s">
        <v>166</v>
      </c>
      <c r="J1" s="75" t="s">
        <v>167</v>
      </c>
      <c r="K1" s="75" t="s">
        <v>168</v>
      </c>
      <c r="L1" s="75" t="s">
        <v>169</v>
      </c>
      <c r="M1" s="75" t="s">
        <v>170</v>
      </c>
      <c r="N1" s="75" t="s">
        <v>171</v>
      </c>
      <c r="O1" s="75" t="s">
        <v>172</v>
      </c>
      <c r="P1" s="75" t="s">
        <v>173</v>
      </c>
      <c r="Q1" s="75" t="s">
        <v>174</v>
      </c>
      <c r="R1" s="75" t="s">
        <v>175</v>
      </c>
      <c r="S1" s="75" t="s">
        <v>176</v>
      </c>
      <c r="T1" s="75" t="s">
        <v>177</v>
      </c>
      <c r="U1" s="75" t="s">
        <v>178</v>
      </c>
      <c r="V1" s="75" t="s">
        <v>179</v>
      </c>
      <c r="W1" s="75" t="s">
        <v>180</v>
      </c>
      <c r="X1" s="75" t="s">
        <v>181</v>
      </c>
      <c r="Y1" s="75" t="s">
        <v>182</v>
      </c>
      <c r="Z1" s="75" t="s">
        <v>183</v>
      </c>
      <c r="AA1" s="75" t="s">
        <v>184</v>
      </c>
      <c r="AB1" s="75" t="s">
        <v>185</v>
      </c>
      <c r="AC1" s="75" t="s">
        <v>186</v>
      </c>
      <c r="AD1" s="75" t="s">
        <v>187</v>
      </c>
      <c r="AE1" s="75" t="s">
        <v>188</v>
      </c>
      <c r="AF1" s="50" t="s">
        <v>190</v>
      </c>
      <c r="AG1" s="84" t="s">
        <v>189</v>
      </c>
      <c r="AH1" s="84" t="s">
        <v>199</v>
      </c>
      <c r="AJ1" s="23" t="s">
        <v>198</v>
      </c>
      <c r="AK1" s="24" t="s">
        <v>196</v>
      </c>
      <c r="AL1" s="50" t="s">
        <v>197</v>
      </c>
      <c r="AM1" s="99" t="s">
        <v>202</v>
      </c>
      <c r="AO1" s="93" t="s">
        <v>201</v>
      </c>
      <c r="AP1" s="94" t="s">
        <v>200</v>
      </c>
    </row>
    <row r="2" spans="1:42" x14ac:dyDescent="0.25">
      <c r="A2" s="76" t="str">
        <f>_xlfn.CONCAT(introduccion!C2&amp;", "&amp;introduccion!B2)</f>
        <v>Racedo, Cristián</v>
      </c>
      <c r="B2" s="76" t="s">
        <v>158</v>
      </c>
      <c r="C2" s="76" t="s">
        <v>158</v>
      </c>
      <c r="D2" s="76"/>
      <c r="E2" s="76"/>
      <c r="F2" s="76" t="s">
        <v>158</v>
      </c>
      <c r="G2" s="76" t="s">
        <v>158</v>
      </c>
      <c r="H2" s="76" t="s">
        <v>158</v>
      </c>
      <c r="I2" s="76" t="s">
        <v>158</v>
      </c>
      <c r="J2" s="76" t="s">
        <v>158</v>
      </c>
      <c r="K2" s="76" t="s">
        <v>191</v>
      </c>
      <c r="L2" s="76"/>
      <c r="M2" s="76" t="s">
        <v>158</v>
      </c>
      <c r="N2" s="76" t="s">
        <v>158</v>
      </c>
      <c r="O2" s="76" t="s">
        <v>158</v>
      </c>
      <c r="P2" s="76" t="s">
        <v>158</v>
      </c>
      <c r="Q2" s="76" t="s">
        <v>158</v>
      </c>
      <c r="R2" s="76"/>
      <c r="S2" s="76" t="s">
        <v>191</v>
      </c>
      <c r="T2" s="76" t="s">
        <v>158</v>
      </c>
      <c r="U2" s="76" t="s">
        <v>158</v>
      </c>
      <c r="V2" s="76" t="s">
        <v>158</v>
      </c>
      <c r="W2" s="76" t="s">
        <v>158</v>
      </c>
      <c r="X2" s="76" t="s">
        <v>158</v>
      </c>
      <c r="Y2" s="76" t="s">
        <v>191</v>
      </c>
      <c r="Z2" s="76" t="s">
        <v>191</v>
      </c>
      <c r="AA2" s="76" t="s">
        <v>158</v>
      </c>
      <c r="AB2" s="76" t="s">
        <v>158</v>
      </c>
      <c r="AC2" s="76" t="s">
        <v>158</v>
      </c>
      <c r="AD2" s="76" t="s">
        <v>158</v>
      </c>
      <c r="AE2" s="76" t="s">
        <v>158</v>
      </c>
      <c r="AF2" s="79">
        <f t="shared" ref="AF2:AF11" si="0">COUNTBLANK(B2:AE2)</f>
        <v>8</v>
      </c>
      <c r="AG2" s="85">
        <f>COUNTA($B$1:$AE$1) - AF2</f>
        <v>22</v>
      </c>
      <c r="AH2" s="88" cm="1">
        <f t="array" ref="AH2">AG2*valor_hora*jornada</f>
        <v>88000</v>
      </c>
      <c r="AJ2" s="26" t="s">
        <v>106</v>
      </c>
      <c r="AK2" s="90">
        <f>AVERAGE(asist)</f>
        <v>16.7</v>
      </c>
      <c r="AL2" s="91">
        <f>AVERAGE(aus)</f>
        <v>13.3</v>
      </c>
      <c r="AM2" s="100">
        <f>AVERAGE(sueldos)</f>
        <v>66800</v>
      </c>
      <c r="AO2" s="95">
        <v>500</v>
      </c>
      <c r="AP2" s="96">
        <v>8</v>
      </c>
    </row>
    <row r="3" spans="1:42" x14ac:dyDescent="0.25">
      <c r="A3" s="77" t="str">
        <f>_xlfn.CONCAT(introduccion!C3&amp;", "&amp;introduccion!B3)</f>
        <v>Perez, Juan</v>
      </c>
      <c r="B3" s="77" t="s">
        <v>158</v>
      </c>
      <c r="C3" s="77"/>
      <c r="D3" s="77"/>
      <c r="E3" s="77"/>
      <c r="F3" s="77" t="s">
        <v>158</v>
      </c>
      <c r="G3" s="77" t="s">
        <v>158</v>
      </c>
      <c r="H3" s="77" t="s">
        <v>191</v>
      </c>
      <c r="I3" s="77" t="s">
        <v>158</v>
      </c>
      <c r="J3" s="77" t="s">
        <v>191</v>
      </c>
      <c r="K3" s="77" t="s">
        <v>158</v>
      </c>
      <c r="L3" s="77"/>
      <c r="M3" s="77" t="s">
        <v>158</v>
      </c>
      <c r="N3" s="77" t="s">
        <v>191</v>
      </c>
      <c r="O3" s="77" t="s">
        <v>158</v>
      </c>
      <c r="P3" s="77" t="s">
        <v>158</v>
      </c>
      <c r="Q3" s="77" t="s">
        <v>158</v>
      </c>
      <c r="R3" s="77" t="s">
        <v>191</v>
      </c>
      <c r="S3" s="77" t="s">
        <v>191</v>
      </c>
      <c r="T3" s="77" t="s">
        <v>158</v>
      </c>
      <c r="U3" s="77" t="s">
        <v>158</v>
      </c>
      <c r="V3" s="77" t="s">
        <v>191</v>
      </c>
      <c r="W3" s="77" t="s">
        <v>158</v>
      </c>
      <c r="X3" s="77" t="s">
        <v>191</v>
      </c>
      <c r="Y3" s="77" t="s">
        <v>158</v>
      </c>
      <c r="Z3" s="77" t="s">
        <v>191</v>
      </c>
      <c r="AA3" s="77" t="s">
        <v>158</v>
      </c>
      <c r="AB3" s="77" t="s">
        <v>158</v>
      </c>
      <c r="AC3" s="77" t="s">
        <v>158</v>
      </c>
      <c r="AD3" s="77"/>
      <c r="AE3" s="77" t="s">
        <v>158</v>
      </c>
      <c r="AF3" s="80">
        <f t="shared" si="0"/>
        <v>13</v>
      </c>
      <c r="AG3" s="85">
        <f t="shared" ref="AG3:AG11" si="1">COUNTA($B$1:$AE$1) - AF3</f>
        <v>17</v>
      </c>
      <c r="AH3" s="88" cm="1">
        <f t="array" ref="AH3">AG3*valor_hora*jornada</f>
        <v>68000</v>
      </c>
      <c r="AJ3" s="29" t="s">
        <v>192</v>
      </c>
      <c r="AK3" s="52">
        <f>MAX(asist)</f>
        <v>22</v>
      </c>
      <c r="AL3" s="53">
        <f>MAX(aus)</f>
        <v>17</v>
      </c>
      <c r="AM3" s="101">
        <f>MAX(sueldos)</f>
        <v>88000</v>
      </c>
    </row>
    <row r="4" spans="1:42" x14ac:dyDescent="0.25">
      <c r="A4" s="76" t="str">
        <f>_xlfn.CONCAT(introduccion!C4&amp;", "&amp;introduccion!B4)</f>
        <v>Gomez, Gonzalo</v>
      </c>
      <c r="B4" s="76"/>
      <c r="C4" s="76" t="s">
        <v>158</v>
      </c>
      <c r="D4" s="76"/>
      <c r="E4" s="76"/>
      <c r="F4" s="76" t="s">
        <v>158</v>
      </c>
      <c r="G4" s="76"/>
      <c r="H4" s="76" t="s">
        <v>158</v>
      </c>
      <c r="I4" s="76" t="s">
        <v>158</v>
      </c>
      <c r="J4" s="76"/>
      <c r="K4" s="76" t="s">
        <v>158</v>
      </c>
      <c r="L4" s="76"/>
      <c r="M4" s="76" t="s">
        <v>158</v>
      </c>
      <c r="N4" s="76" t="s">
        <v>158</v>
      </c>
      <c r="O4" s="76" t="s">
        <v>191</v>
      </c>
      <c r="P4" s="76" t="s">
        <v>158</v>
      </c>
      <c r="Q4" s="76" t="s">
        <v>191</v>
      </c>
      <c r="R4" s="76" t="s">
        <v>191</v>
      </c>
      <c r="S4" s="76"/>
      <c r="T4" s="76" t="s">
        <v>158</v>
      </c>
      <c r="U4" s="76" t="s">
        <v>191</v>
      </c>
      <c r="V4" s="76" t="s">
        <v>158</v>
      </c>
      <c r="W4" s="76" t="s">
        <v>191</v>
      </c>
      <c r="X4" s="76" t="s">
        <v>158</v>
      </c>
      <c r="Y4" s="76" t="s">
        <v>191</v>
      </c>
      <c r="Z4" s="76" t="s">
        <v>191</v>
      </c>
      <c r="AA4" s="76" t="s">
        <v>158</v>
      </c>
      <c r="AB4" s="76" t="s">
        <v>191</v>
      </c>
      <c r="AC4" s="76" t="s">
        <v>158</v>
      </c>
      <c r="AD4" s="76" t="s">
        <v>158</v>
      </c>
      <c r="AE4" s="76"/>
      <c r="AF4" s="79">
        <f t="shared" si="0"/>
        <v>16</v>
      </c>
      <c r="AG4" s="85">
        <f t="shared" si="1"/>
        <v>14</v>
      </c>
      <c r="AH4" s="88" cm="1">
        <f t="array" ref="AH4">AG4*valor_hora*jornada</f>
        <v>56000</v>
      </c>
      <c r="AJ4" s="26" t="s">
        <v>193</v>
      </c>
      <c r="AK4" s="51">
        <f>MIN(asist)</f>
        <v>13</v>
      </c>
      <c r="AL4" s="6">
        <f>MIN(aus)</f>
        <v>8</v>
      </c>
      <c r="AM4" s="100">
        <f>MIN(sueldos)</f>
        <v>52000</v>
      </c>
      <c r="AP4" s="73"/>
    </row>
    <row r="5" spans="1:42" x14ac:dyDescent="0.25">
      <c r="A5" s="77" t="str">
        <f>_xlfn.CONCAT(introduccion!C5&amp;", "&amp;introduccion!B5)</f>
        <v>Fernandez, Daniela</v>
      </c>
      <c r="B5" s="77" t="s">
        <v>158</v>
      </c>
      <c r="C5" s="77" t="s">
        <v>158</v>
      </c>
      <c r="D5" s="77" t="s">
        <v>158</v>
      </c>
      <c r="E5" s="77"/>
      <c r="F5" s="77"/>
      <c r="G5" s="77" t="s">
        <v>158</v>
      </c>
      <c r="H5" s="77"/>
      <c r="I5" s="77" t="s">
        <v>158</v>
      </c>
      <c r="J5" s="77" t="s">
        <v>158</v>
      </c>
      <c r="K5" s="77" t="s">
        <v>158</v>
      </c>
      <c r="L5" s="77"/>
      <c r="M5" s="77" t="s">
        <v>158</v>
      </c>
      <c r="N5" s="77" t="s">
        <v>158</v>
      </c>
      <c r="O5" s="77" t="s">
        <v>191</v>
      </c>
      <c r="P5" s="77" t="s">
        <v>158</v>
      </c>
      <c r="Q5" s="77" t="s">
        <v>158</v>
      </c>
      <c r="R5" s="77" t="s">
        <v>191</v>
      </c>
      <c r="S5" s="77" t="s">
        <v>191</v>
      </c>
      <c r="T5" s="77" t="s">
        <v>158</v>
      </c>
      <c r="U5" s="77" t="s">
        <v>191</v>
      </c>
      <c r="V5" s="77" t="s">
        <v>158</v>
      </c>
      <c r="W5" s="77" t="s">
        <v>158</v>
      </c>
      <c r="X5" s="77" t="s">
        <v>191</v>
      </c>
      <c r="Y5" s="77" t="s">
        <v>158</v>
      </c>
      <c r="Z5" s="77" t="s">
        <v>191</v>
      </c>
      <c r="AA5" s="77" t="s">
        <v>158</v>
      </c>
      <c r="AB5" s="77" t="s">
        <v>158</v>
      </c>
      <c r="AC5" s="77" t="s">
        <v>158</v>
      </c>
      <c r="AD5" s="77"/>
      <c r="AE5" s="77" t="s">
        <v>158</v>
      </c>
      <c r="AF5" s="80">
        <f t="shared" si="0"/>
        <v>11</v>
      </c>
      <c r="AG5" s="85">
        <f t="shared" si="1"/>
        <v>19</v>
      </c>
      <c r="AH5" s="88" cm="1">
        <f t="array" ref="AH5">AG5*valor_hora*jornada</f>
        <v>76000</v>
      </c>
      <c r="AJ5" s="29" t="s">
        <v>194</v>
      </c>
      <c r="AK5" s="52">
        <f>MODE(asist)</f>
        <v>17</v>
      </c>
      <c r="AL5" s="53">
        <f>MODE(aus)</f>
        <v>13</v>
      </c>
      <c r="AM5" s="101">
        <f>MODE(sueldos)</f>
        <v>68000</v>
      </c>
    </row>
    <row r="6" spans="1:42" x14ac:dyDescent="0.25">
      <c r="A6" s="76" t="str">
        <f>_xlfn.CONCAT(introduccion!C6&amp;", "&amp;introduccion!B6)</f>
        <v>Lopez, Carla</v>
      </c>
      <c r="B6" s="76" t="s">
        <v>158</v>
      </c>
      <c r="C6" s="76"/>
      <c r="D6" s="76" t="s">
        <v>158</v>
      </c>
      <c r="E6" s="76"/>
      <c r="F6" s="76" t="s">
        <v>158</v>
      </c>
      <c r="G6" s="76" t="s">
        <v>158</v>
      </c>
      <c r="H6" s="76" t="s">
        <v>158</v>
      </c>
      <c r="I6" s="76" t="s">
        <v>158</v>
      </c>
      <c r="J6" s="76"/>
      <c r="K6" s="76" t="s">
        <v>158</v>
      </c>
      <c r="L6" s="76"/>
      <c r="M6" s="76" t="s">
        <v>191</v>
      </c>
      <c r="N6" s="76" t="s">
        <v>158</v>
      </c>
      <c r="O6" s="76" t="s">
        <v>158</v>
      </c>
      <c r="P6" s="76" t="s">
        <v>191</v>
      </c>
      <c r="Q6" s="76" t="s">
        <v>158</v>
      </c>
      <c r="R6" s="76" t="s">
        <v>191</v>
      </c>
      <c r="S6" s="76" t="s">
        <v>191</v>
      </c>
      <c r="T6" s="76" t="s">
        <v>158</v>
      </c>
      <c r="U6" s="76" t="s">
        <v>158</v>
      </c>
      <c r="V6" s="76" t="s">
        <v>191</v>
      </c>
      <c r="W6" s="76" t="s">
        <v>158</v>
      </c>
      <c r="X6" s="76" t="s">
        <v>158</v>
      </c>
      <c r="Y6" s="76" t="s">
        <v>191</v>
      </c>
      <c r="Z6" s="76" t="s">
        <v>191</v>
      </c>
      <c r="AA6" s="76" t="s">
        <v>158</v>
      </c>
      <c r="AB6" s="76" t="s">
        <v>191</v>
      </c>
      <c r="AC6" s="76" t="s">
        <v>158</v>
      </c>
      <c r="AD6" s="76" t="s">
        <v>158</v>
      </c>
      <c r="AE6" s="76"/>
      <c r="AF6" s="79">
        <f t="shared" si="0"/>
        <v>13</v>
      </c>
      <c r="AG6" s="85">
        <f t="shared" si="1"/>
        <v>17</v>
      </c>
      <c r="AH6" s="88" cm="1">
        <f t="array" ref="AH6">AG6*valor_hora*jornada</f>
        <v>68000</v>
      </c>
      <c r="AJ6" s="26" t="s">
        <v>195</v>
      </c>
      <c r="AK6" s="90">
        <f>MEDIAN(asist)</f>
        <v>16.5</v>
      </c>
      <c r="AL6" s="91">
        <f>MEDIAN(aus)</f>
        <v>13.5</v>
      </c>
      <c r="AM6" s="100">
        <f>MEDIAN(sueldos)</f>
        <v>66000</v>
      </c>
    </row>
    <row r="7" spans="1:42" x14ac:dyDescent="0.25">
      <c r="A7" s="77" t="str">
        <f>_xlfn.CONCAT(introduccion!C7&amp;", "&amp;introduccion!B7)</f>
        <v>Martinez, Mariano</v>
      </c>
      <c r="B7" s="77"/>
      <c r="C7" s="77" t="s">
        <v>158</v>
      </c>
      <c r="D7" s="77" t="s">
        <v>158</v>
      </c>
      <c r="E7" s="77"/>
      <c r="F7" s="77"/>
      <c r="G7" s="77" t="s">
        <v>158</v>
      </c>
      <c r="H7" s="77" t="s">
        <v>158</v>
      </c>
      <c r="I7" s="77"/>
      <c r="J7" s="77" t="s">
        <v>158</v>
      </c>
      <c r="K7" s="77"/>
      <c r="L7" s="77"/>
      <c r="M7" s="77" t="s">
        <v>158</v>
      </c>
      <c r="N7" s="77" t="s">
        <v>158</v>
      </c>
      <c r="O7" s="77" t="s">
        <v>191</v>
      </c>
      <c r="P7" s="77" t="s">
        <v>158</v>
      </c>
      <c r="Q7" s="77" t="s">
        <v>158</v>
      </c>
      <c r="R7" s="77" t="s">
        <v>191</v>
      </c>
      <c r="S7" s="77" t="s">
        <v>191</v>
      </c>
      <c r="T7" s="77" t="s">
        <v>158</v>
      </c>
      <c r="U7" s="77" t="s">
        <v>191</v>
      </c>
      <c r="V7" s="77" t="s">
        <v>191</v>
      </c>
      <c r="W7" s="77" t="s">
        <v>158</v>
      </c>
      <c r="X7" s="77" t="s">
        <v>158</v>
      </c>
      <c r="Y7" s="77" t="s">
        <v>158</v>
      </c>
      <c r="Z7" s="77" t="s">
        <v>191</v>
      </c>
      <c r="AA7" s="77" t="s">
        <v>158</v>
      </c>
      <c r="AB7" s="77"/>
      <c r="AC7" s="77" t="s">
        <v>158</v>
      </c>
      <c r="AD7" s="77"/>
      <c r="AE7" s="77" t="s">
        <v>158</v>
      </c>
      <c r="AF7" s="80">
        <f t="shared" si="0"/>
        <v>14</v>
      </c>
      <c r="AG7" s="85">
        <f t="shared" si="1"/>
        <v>16</v>
      </c>
      <c r="AH7" s="88" cm="1">
        <f t="array" ref="AH7">AG7*valor_hora*jornada</f>
        <v>64000</v>
      </c>
      <c r="AJ7" s="21" t="s">
        <v>111</v>
      </c>
      <c r="AK7" s="92">
        <f>SUM(asist)</f>
        <v>167</v>
      </c>
      <c r="AL7" s="49">
        <f>SUM(aus)</f>
        <v>133</v>
      </c>
      <c r="AM7" s="102">
        <f>SUM(sueldos)</f>
        <v>668000</v>
      </c>
    </row>
    <row r="8" spans="1:42" x14ac:dyDescent="0.25">
      <c r="A8" s="76" t="str">
        <f>_xlfn.CONCAT(introduccion!C8&amp;", "&amp;introduccion!B8)</f>
        <v>Gonzalez, Gonzalo</v>
      </c>
      <c r="B8" s="76" t="s">
        <v>158</v>
      </c>
      <c r="C8" s="76" t="s">
        <v>158</v>
      </c>
      <c r="D8" s="76"/>
      <c r="E8" s="76"/>
      <c r="F8" s="76" t="s">
        <v>158</v>
      </c>
      <c r="G8" s="76" t="s">
        <v>191</v>
      </c>
      <c r="H8" s="76" t="s">
        <v>191</v>
      </c>
      <c r="I8" s="76"/>
      <c r="J8" s="76"/>
      <c r="K8" s="76"/>
      <c r="L8" s="76"/>
      <c r="M8" s="76" t="s">
        <v>158</v>
      </c>
      <c r="N8" s="76" t="s">
        <v>191</v>
      </c>
      <c r="O8" s="76" t="s">
        <v>158</v>
      </c>
      <c r="P8" s="76" t="s">
        <v>158</v>
      </c>
      <c r="Q8" s="76" t="s">
        <v>158</v>
      </c>
      <c r="R8" s="76" t="s">
        <v>191</v>
      </c>
      <c r="S8" s="76" t="s">
        <v>191</v>
      </c>
      <c r="T8" s="76"/>
      <c r="U8" s="76"/>
      <c r="V8" s="76"/>
      <c r="W8" s="76" t="s">
        <v>191</v>
      </c>
      <c r="X8" s="76" t="s">
        <v>158</v>
      </c>
      <c r="Y8" s="76" t="s">
        <v>158</v>
      </c>
      <c r="Z8" s="76"/>
      <c r="AA8" s="76"/>
      <c r="AB8" s="76" t="s">
        <v>158</v>
      </c>
      <c r="AC8" s="76" t="s">
        <v>158</v>
      </c>
      <c r="AD8" s="76" t="s">
        <v>158</v>
      </c>
      <c r="AE8" s="76" t="s">
        <v>158</v>
      </c>
      <c r="AF8" s="79">
        <f t="shared" si="0"/>
        <v>17</v>
      </c>
      <c r="AG8" s="85">
        <f t="shared" si="1"/>
        <v>13</v>
      </c>
      <c r="AH8" s="88" cm="1">
        <f t="array" ref="AH8">AG8*valor_hora*jornada</f>
        <v>52000</v>
      </c>
    </row>
    <row r="9" spans="1:42" x14ac:dyDescent="0.25">
      <c r="A9" s="77" t="str">
        <f>_xlfn.CONCAT(introduccion!C9&amp;", "&amp;introduccion!B9)</f>
        <v>Jimenez, Jorge</v>
      </c>
      <c r="B9" s="77" t="s">
        <v>158</v>
      </c>
      <c r="C9" s="77"/>
      <c r="D9" s="77" t="s">
        <v>158</v>
      </c>
      <c r="E9" s="77"/>
      <c r="F9" s="77" t="s">
        <v>158</v>
      </c>
      <c r="G9" s="77" t="s">
        <v>158</v>
      </c>
      <c r="H9" s="77"/>
      <c r="I9" s="77"/>
      <c r="J9" s="77" t="s">
        <v>158</v>
      </c>
      <c r="K9" s="77"/>
      <c r="L9" s="77"/>
      <c r="M9" s="77" t="s">
        <v>158</v>
      </c>
      <c r="N9" s="77" t="s">
        <v>158</v>
      </c>
      <c r="O9" s="77" t="s">
        <v>191</v>
      </c>
      <c r="P9" s="77" t="s">
        <v>158</v>
      </c>
      <c r="Q9" s="77" t="s">
        <v>191</v>
      </c>
      <c r="R9" s="77" t="s">
        <v>191</v>
      </c>
      <c r="S9" s="77" t="s">
        <v>191</v>
      </c>
      <c r="T9" s="77" t="s">
        <v>158</v>
      </c>
      <c r="U9" s="77" t="s">
        <v>158</v>
      </c>
      <c r="V9" s="77" t="s">
        <v>158</v>
      </c>
      <c r="W9" s="77" t="s">
        <v>158</v>
      </c>
      <c r="X9" s="77" t="s">
        <v>158</v>
      </c>
      <c r="Y9" s="77" t="s">
        <v>158</v>
      </c>
      <c r="Z9" s="77"/>
      <c r="AA9" s="77" t="s">
        <v>158</v>
      </c>
      <c r="AB9" s="77"/>
      <c r="AC9" s="77" t="s">
        <v>158</v>
      </c>
      <c r="AD9" s="77" t="s">
        <v>158</v>
      </c>
      <c r="AE9" s="77" t="s">
        <v>158</v>
      </c>
      <c r="AF9" s="80">
        <f t="shared" si="0"/>
        <v>12</v>
      </c>
      <c r="AG9" s="85">
        <f t="shared" si="1"/>
        <v>18</v>
      </c>
      <c r="AH9" s="88" cm="1">
        <f t="array" ref="AH9">AG9*valor_hora*jornada</f>
        <v>72000</v>
      </c>
    </row>
    <row r="10" spans="1:42" x14ac:dyDescent="0.25">
      <c r="A10" s="76" t="str">
        <f>_xlfn.CONCAT(introduccion!C10&amp;", "&amp;introduccion!B10)</f>
        <v>Gimenez, Gabriela</v>
      </c>
      <c r="B10" s="76" t="s">
        <v>158</v>
      </c>
      <c r="C10" s="76" t="s">
        <v>158</v>
      </c>
      <c r="D10" s="76"/>
      <c r="E10" s="76"/>
      <c r="F10" s="76"/>
      <c r="G10" s="76"/>
      <c r="H10" s="76" t="s">
        <v>158</v>
      </c>
      <c r="I10" s="76" t="s">
        <v>158</v>
      </c>
      <c r="J10" s="76" t="s">
        <v>158</v>
      </c>
      <c r="K10" s="76" t="s">
        <v>191</v>
      </c>
      <c r="L10" s="76"/>
      <c r="M10" s="76" t="s">
        <v>158</v>
      </c>
      <c r="N10" s="76" t="s">
        <v>158</v>
      </c>
      <c r="O10" s="76" t="s">
        <v>191</v>
      </c>
      <c r="P10" s="76" t="s">
        <v>158</v>
      </c>
      <c r="Q10" s="76" t="s">
        <v>191</v>
      </c>
      <c r="R10" s="76" t="s">
        <v>191</v>
      </c>
      <c r="S10" s="76" t="s">
        <v>191</v>
      </c>
      <c r="T10" s="76"/>
      <c r="U10" s="76" t="s">
        <v>158</v>
      </c>
      <c r="V10" s="76" t="s">
        <v>158</v>
      </c>
      <c r="W10" s="76" t="s">
        <v>158</v>
      </c>
      <c r="X10" s="76"/>
      <c r="Y10" s="76"/>
      <c r="Z10" s="76"/>
      <c r="AA10" s="76" t="s">
        <v>158</v>
      </c>
      <c r="AB10" s="76" t="s">
        <v>158</v>
      </c>
      <c r="AC10" s="76" t="s">
        <v>158</v>
      </c>
      <c r="AD10" s="76" t="s">
        <v>158</v>
      </c>
      <c r="AE10" s="76"/>
      <c r="AF10" s="79">
        <f t="shared" si="0"/>
        <v>15</v>
      </c>
      <c r="AG10" s="85">
        <f t="shared" si="1"/>
        <v>15</v>
      </c>
      <c r="AH10" s="88" cm="1">
        <f t="array" ref="AH10">AG10*valor_hora*jornada</f>
        <v>60000</v>
      </c>
    </row>
    <row r="11" spans="1:42" x14ac:dyDescent="0.25">
      <c r="A11" s="78" t="str">
        <f>_xlfn.CONCAT(introduccion!C11&amp;", "&amp;introduccion!B11)</f>
        <v>Lopez, Laura</v>
      </c>
      <c r="B11" s="78" t="s">
        <v>158</v>
      </c>
      <c r="C11" s="78"/>
      <c r="D11" s="78" t="s">
        <v>158</v>
      </c>
      <c r="E11" s="78"/>
      <c r="F11" s="78" t="s">
        <v>158</v>
      </c>
      <c r="G11" s="78" t="s">
        <v>158</v>
      </c>
      <c r="H11" s="78"/>
      <c r="I11" s="78" t="s">
        <v>158</v>
      </c>
      <c r="J11" s="78" t="s">
        <v>158</v>
      </c>
      <c r="K11" s="78" t="s">
        <v>158</v>
      </c>
      <c r="L11" s="78"/>
      <c r="M11" s="78" t="s">
        <v>158</v>
      </c>
      <c r="N11" s="78" t="s">
        <v>158</v>
      </c>
      <c r="O11" s="78" t="s">
        <v>158</v>
      </c>
      <c r="P11" s="78" t="s">
        <v>158</v>
      </c>
      <c r="Q11" s="78" t="s">
        <v>158</v>
      </c>
      <c r="R11" s="78" t="s">
        <v>191</v>
      </c>
      <c r="S11" s="78" t="s">
        <v>191</v>
      </c>
      <c r="T11" s="78" t="s">
        <v>158</v>
      </c>
      <c r="U11" s="78" t="s">
        <v>158</v>
      </c>
      <c r="V11" s="78" t="s">
        <v>191</v>
      </c>
      <c r="W11" s="78" t="s">
        <v>191</v>
      </c>
      <c r="X11" s="78" t="s">
        <v>191</v>
      </c>
      <c r="Y11" s="78" t="s">
        <v>158</v>
      </c>
      <c r="Z11" s="78" t="s">
        <v>191</v>
      </c>
      <c r="AA11" s="78" t="s">
        <v>158</v>
      </c>
      <c r="AB11" s="78"/>
      <c r="AC11" s="78"/>
      <c r="AD11" s="78"/>
      <c r="AE11" s="78"/>
      <c r="AF11" s="80">
        <f t="shared" si="0"/>
        <v>14</v>
      </c>
      <c r="AG11" s="85">
        <f t="shared" si="1"/>
        <v>16</v>
      </c>
      <c r="AH11" s="88" cm="1">
        <f t="array" ref="AH11">AG11*valor_hora*jornada</f>
        <v>64000</v>
      </c>
    </row>
    <row r="12" spans="1:42" x14ac:dyDescent="0.25">
      <c r="A12" s="97" t="s">
        <v>111</v>
      </c>
      <c r="B12" s="97">
        <f>COUNTA($A$2:$A$11) - COUNTBLANK(B2:B11)</f>
        <v>8</v>
      </c>
      <c r="C12" s="97">
        <f>COUNTBLANK(C2:C11)</f>
        <v>4</v>
      </c>
      <c r="D12" s="97">
        <f>COUNTBLANK(D2:D11)</f>
        <v>5</v>
      </c>
      <c r="E12" s="97">
        <f t="shared" ref="E12:S12" si="2">COUNTBLANK(E2:E11)</f>
        <v>10</v>
      </c>
      <c r="F12" s="97">
        <f t="shared" si="2"/>
        <v>3</v>
      </c>
      <c r="G12" s="97">
        <f t="shared" si="2"/>
        <v>3</v>
      </c>
      <c r="H12" s="97">
        <f t="shared" si="2"/>
        <v>5</v>
      </c>
      <c r="I12" s="97">
        <f t="shared" si="2"/>
        <v>3</v>
      </c>
      <c r="J12" s="97">
        <f t="shared" si="2"/>
        <v>4</v>
      </c>
      <c r="K12" s="97">
        <f t="shared" si="2"/>
        <v>5</v>
      </c>
      <c r="L12" s="97">
        <f t="shared" si="2"/>
        <v>10</v>
      </c>
      <c r="M12" s="97">
        <f t="shared" si="2"/>
        <v>1</v>
      </c>
      <c r="N12" s="97">
        <f t="shared" si="2"/>
        <v>2</v>
      </c>
      <c r="O12" s="97">
        <f t="shared" si="2"/>
        <v>5</v>
      </c>
      <c r="P12" s="97">
        <f t="shared" si="2"/>
        <v>1</v>
      </c>
      <c r="Q12" s="97">
        <f t="shared" si="2"/>
        <v>3</v>
      </c>
      <c r="R12" s="97">
        <f t="shared" si="2"/>
        <v>10</v>
      </c>
      <c r="S12" s="97">
        <f t="shared" si="2"/>
        <v>10</v>
      </c>
      <c r="T12" s="97">
        <f t="shared" ref="T12" si="3">COUNTBLANK(T2:T11)</f>
        <v>2</v>
      </c>
      <c r="U12" s="97">
        <f t="shared" ref="U12" si="4">COUNTBLANK(U2:U11)</f>
        <v>4</v>
      </c>
      <c r="V12" s="97">
        <f t="shared" ref="V12" si="5">COUNTBLANK(V2:V11)</f>
        <v>5</v>
      </c>
      <c r="W12" s="97">
        <f t="shared" ref="W12" si="6">COUNTBLANK(W2:W11)</f>
        <v>3</v>
      </c>
      <c r="X12" s="97">
        <f t="shared" ref="X12" si="7">COUNTBLANK(X2:X11)</f>
        <v>4</v>
      </c>
      <c r="Y12" s="97">
        <f t="shared" ref="Y12" si="8">COUNTBLANK(Y2:Y11)</f>
        <v>4</v>
      </c>
      <c r="Z12" s="97">
        <f t="shared" ref="Z12" si="9">COUNTBLANK(Z2:Z11)</f>
        <v>10</v>
      </c>
      <c r="AA12" s="97">
        <f t="shared" ref="AA12" si="10">COUNTBLANK(AA2:AA11)</f>
        <v>1</v>
      </c>
      <c r="AB12" s="97">
        <f t="shared" ref="AB12" si="11">COUNTBLANK(AB2:AB11)</f>
        <v>5</v>
      </c>
      <c r="AC12" s="97">
        <f t="shared" ref="AC12" si="12">COUNTBLANK(AC2:AC11)</f>
        <v>1</v>
      </c>
      <c r="AD12" s="97">
        <f t="shared" ref="AD12" si="13">COUNTBLANK(AD2:AD11)</f>
        <v>4</v>
      </c>
      <c r="AE12" s="97">
        <f t="shared" ref="AE12" si="14">COUNTBLANK(AE2:AE11)</f>
        <v>4</v>
      </c>
      <c r="AF12" s="98">
        <f>SUBTOTAL(109,Tabla3[Aus.])</f>
        <v>133</v>
      </c>
      <c r="AG12" s="85">
        <f>SUBTOTAL(109,Tabla3[Asist.])</f>
        <v>167</v>
      </c>
      <c r="AH12" s="88">
        <f>SUBTOTAL(109,Tabla3[sueldo])</f>
        <v>668000</v>
      </c>
    </row>
    <row r="13" spans="1:42" x14ac:dyDescent="0.25"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87"/>
      <c r="AG13" s="86"/>
      <c r="AH13" s="88"/>
    </row>
    <row r="14" spans="1:42" x14ac:dyDescent="0.25"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G14" s="86"/>
      <c r="AH14" s="88"/>
    </row>
    <row r="16" spans="1:42" x14ac:dyDescent="0.25">
      <c r="D16" s="89"/>
    </row>
  </sheetData>
  <pageMargins left="0.7" right="0.7" top="0.75" bottom="0.75" header="0.3" footer="0.3"/>
  <pageSetup scale="60" orientation="landscape" r:id="rId1"/>
  <ignoredErrors>
    <ignoredError sqref="B25:AE1048576" twoDigitTextYear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CC1-0733-4BBC-8410-31F61302687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47B-831B-4617-94F6-1B9F8B2C5B52}">
  <dimension ref="A1:L19"/>
  <sheetViews>
    <sheetView zoomScale="130" zoomScaleNormal="13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1.140625" bestFit="1" customWidth="1"/>
    <col min="2" max="2" width="15.140625" bestFit="1" customWidth="1"/>
    <col min="3" max="3" width="3" customWidth="1"/>
    <col min="4" max="4" width="9.140625" bestFit="1" customWidth="1"/>
    <col min="5" max="5" width="7" bestFit="1" customWidth="1"/>
    <col min="6" max="6" width="11.5703125" style="56" bestFit="1" customWidth="1"/>
    <col min="7" max="7" width="12.7109375" style="56" bestFit="1" customWidth="1"/>
    <col min="8" max="8" width="11.5703125" style="56" bestFit="1" customWidth="1"/>
    <col min="9" max="9" width="13.85546875" style="56" bestFit="1" customWidth="1"/>
    <col min="10" max="10" width="9.140625" style="55" bestFit="1" customWidth="1"/>
    <col min="11" max="11" width="4.5703125" customWidth="1"/>
    <col min="12" max="12" width="5.5703125" bestFit="1" customWidth="1"/>
    <col min="13" max="13" width="5.28515625" customWidth="1"/>
    <col min="14" max="14" width="7.140625" bestFit="1" customWidth="1"/>
    <col min="15" max="15" width="13.7109375" bestFit="1" customWidth="1"/>
  </cols>
  <sheetData>
    <row r="1" spans="1:12" x14ac:dyDescent="0.25">
      <c r="A1" s="5" t="s">
        <v>103</v>
      </c>
      <c r="B1" s="60">
        <f>COUNT(ventas[codigo])</f>
        <v>18</v>
      </c>
      <c r="D1" t="s">
        <v>97</v>
      </c>
      <c r="E1" t="s">
        <v>102</v>
      </c>
      <c r="F1" s="56" t="s">
        <v>107</v>
      </c>
      <c r="G1" s="56" t="s">
        <v>81</v>
      </c>
      <c r="H1" s="56" t="s">
        <v>101</v>
      </c>
      <c r="I1" s="56" t="s">
        <v>108</v>
      </c>
      <c r="J1" s="55" t="s">
        <v>14</v>
      </c>
      <c r="L1" s="58" t="s">
        <v>104</v>
      </c>
    </row>
    <row r="2" spans="1:12" x14ac:dyDescent="0.25">
      <c r="A2" s="68" t="s">
        <v>111</v>
      </c>
      <c r="B2" s="61">
        <f>SUM(ventas[total])</f>
        <v>287500</v>
      </c>
      <c r="D2">
        <v>3</v>
      </c>
      <c r="E2">
        <v>5</v>
      </c>
      <c r="F2" s="56">
        <v>5600</v>
      </c>
      <c r="G2" s="56">
        <f>ventas[[#This Row],[cant]]*ventas[[#This Row],[precio]]</f>
        <v>28000</v>
      </c>
      <c r="H2" s="56">
        <f>ventas[[#This Row],[total]]*iva_ventas</f>
        <v>5880</v>
      </c>
      <c r="I2" s="56">
        <f>ventas[[#This Row],[total]]+ventas[[#This Row],[iva]]</f>
        <v>33880</v>
      </c>
      <c r="J2" s="55">
        <v>44824</v>
      </c>
      <c r="L2" s="59">
        <v>0.21</v>
      </c>
    </row>
    <row r="3" spans="1:12" x14ac:dyDescent="0.25">
      <c r="A3" s="5" t="s">
        <v>110</v>
      </c>
      <c r="B3" s="62">
        <f>MIN(ventas[total])</f>
        <v>3500</v>
      </c>
      <c r="D3">
        <v>5</v>
      </c>
      <c r="E3">
        <v>2</v>
      </c>
      <c r="F3" s="56">
        <v>8000</v>
      </c>
      <c r="G3" s="56">
        <f>ventas[[#This Row],[cant]]*ventas[[#This Row],[precio]]</f>
        <v>16000</v>
      </c>
      <c r="H3" s="56">
        <f>ventas[[#This Row],[total]]*iva_ventas</f>
        <v>3360</v>
      </c>
      <c r="I3" s="56">
        <f>ventas[[#This Row],[total]]+ventas[[#This Row],[iva]]</f>
        <v>19360</v>
      </c>
      <c r="J3" s="55">
        <v>44824</v>
      </c>
    </row>
    <row r="4" spans="1:12" x14ac:dyDescent="0.25">
      <c r="A4" s="64" t="s">
        <v>109</v>
      </c>
      <c r="B4" s="61">
        <f>MAX(ventas[total])</f>
        <v>36500</v>
      </c>
      <c r="D4">
        <v>10</v>
      </c>
      <c r="E4">
        <v>3</v>
      </c>
      <c r="F4" s="56">
        <v>7300</v>
      </c>
      <c r="G4" s="56">
        <f>ventas[[#This Row],[cant]]*ventas[[#This Row],[precio]]</f>
        <v>21900</v>
      </c>
      <c r="H4" s="56">
        <f>ventas[[#This Row],[total]]*iva_ventas</f>
        <v>4599</v>
      </c>
      <c r="I4" s="56">
        <f>ventas[[#This Row],[total]]+ventas[[#This Row],[iva]]</f>
        <v>26499</v>
      </c>
      <c r="J4" s="55">
        <v>44824</v>
      </c>
    </row>
    <row r="5" spans="1:12" x14ac:dyDescent="0.25">
      <c r="A5" s="65" t="s">
        <v>106</v>
      </c>
      <c r="B5" s="62">
        <f>AVERAGE(ventas[total])</f>
        <v>15972.222222222223</v>
      </c>
      <c r="D5">
        <v>20</v>
      </c>
      <c r="E5">
        <v>1</v>
      </c>
      <c r="F5" s="56">
        <v>3500</v>
      </c>
      <c r="G5" s="56">
        <f>ventas[[#This Row],[cant]]*ventas[[#This Row],[precio]]</f>
        <v>3500</v>
      </c>
      <c r="H5" s="56">
        <f>ventas[[#This Row],[total]]*iva_ventas</f>
        <v>735</v>
      </c>
      <c r="I5" s="56">
        <f>ventas[[#This Row],[total]]+ventas[[#This Row],[iva]]</f>
        <v>4235</v>
      </c>
      <c r="J5" s="55">
        <v>44825</v>
      </c>
    </row>
    <row r="6" spans="1:12" x14ac:dyDescent="0.25">
      <c r="A6" s="66" t="s">
        <v>105</v>
      </c>
      <c r="B6" s="63">
        <f>MODE(D:D)</f>
        <v>20</v>
      </c>
      <c r="D6">
        <v>3</v>
      </c>
      <c r="E6">
        <v>2</v>
      </c>
      <c r="F6" s="56">
        <v>5600</v>
      </c>
      <c r="G6" s="56">
        <f>ventas[[#This Row],[cant]]*ventas[[#This Row],[precio]]</f>
        <v>11200</v>
      </c>
      <c r="H6" s="56">
        <f>ventas[[#This Row],[total]]*iva_ventas</f>
        <v>2352</v>
      </c>
      <c r="I6" s="56">
        <f>ventas[[#This Row],[total]]+ventas[[#This Row],[iva]]</f>
        <v>13552</v>
      </c>
      <c r="J6" s="55">
        <v>44825</v>
      </c>
    </row>
    <row r="7" spans="1:12" x14ac:dyDescent="0.25">
      <c r="D7">
        <v>29</v>
      </c>
      <c r="E7">
        <v>3</v>
      </c>
      <c r="F7" s="56">
        <v>9400</v>
      </c>
      <c r="G7" s="56">
        <f>ventas[[#This Row],[cant]]*ventas[[#This Row],[precio]]</f>
        <v>28200</v>
      </c>
      <c r="H7" s="56">
        <f>ventas[[#This Row],[total]]*iva_ventas</f>
        <v>5922</v>
      </c>
      <c r="I7" s="56">
        <f>ventas[[#This Row],[total]]+ventas[[#This Row],[iva]]</f>
        <v>34122</v>
      </c>
      <c r="J7" s="55">
        <v>44826</v>
      </c>
    </row>
    <row r="8" spans="1:12" x14ac:dyDescent="0.25">
      <c r="A8" s="67"/>
      <c r="B8" s="67"/>
      <c r="D8">
        <v>44</v>
      </c>
      <c r="E8">
        <v>1</v>
      </c>
      <c r="F8" s="56">
        <v>8500</v>
      </c>
      <c r="G8" s="56">
        <f>ventas[[#This Row],[cant]]*ventas[[#This Row],[precio]]</f>
        <v>8500</v>
      </c>
      <c r="H8" s="56">
        <f>ventas[[#This Row],[total]]*iva_ventas</f>
        <v>1785</v>
      </c>
      <c r="I8" s="56">
        <f>ventas[[#This Row],[total]]+ventas[[#This Row],[iva]]</f>
        <v>10285</v>
      </c>
      <c r="J8" s="55">
        <v>44827</v>
      </c>
    </row>
    <row r="9" spans="1:12" x14ac:dyDescent="0.25">
      <c r="D9">
        <v>21</v>
      </c>
      <c r="E9">
        <v>3</v>
      </c>
      <c r="F9" s="56">
        <v>4500</v>
      </c>
      <c r="G9" s="56">
        <f>ventas[[#This Row],[cant]]*ventas[[#This Row],[precio]]</f>
        <v>13500</v>
      </c>
      <c r="H9" s="56">
        <f>ventas[[#This Row],[total]]*iva_ventas</f>
        <v>2835</v>
      </c>
      <c r="I9" s="56">
        <f>ventas[[#This Row],[total]]+ventas[[#This Row],[iva]]</f>
        <v>16335</v>
      </c>
      <c r="J9" s="55">
        <v>44827</v>
      </c>
    </row>
    <row r="10" spans="1:12" x14ac:dyDescent="0.25">
      <c r="D10">
        <v>33</v>
      </c>
      <c r="E10">
        <v>2</v>
      </c>
      <c r="F10" s="56">
        <v>7200</v>
      </c>
      <c r="G10" s="56">
        <f>ventas[[#This Row],[cant]]*ventas[[#This Row],[precio]]</f>
        <v>14400</v>
      </c>
      <c r="H10" s="56">
        <f>ventas[[#This Row],[total]]*iva_ventas</f>
        <v>3024</v>
      </c>
      <c r="I10" s="56">
        <f>ventas[[#This Row],[total]]+ventas[[#This Row],[iva]]</f>
        <v>17424</v>
      </c>
      <c r="J10" s="55">
        <v>44827</v>
      </c>
      <c r="L10" s="57"/>
    </row>
    <row r="11" spans="1:12" x14ac:dyDescent="0.25">
      <c r="D11">
        <v>20</v>
      </c>
      <c r="E11">
        <v>5</v>
      </c>
      <c r="F11" s="56">
        <v>3500</v>
      </c>
      <c r="G11" s="56">
        <f>ventas[[#This Row],[cant]]*ventas[[#This Row],[precio]]</f>
        <v>17500</v>
      </c>
      <c r="H11" s="56">
        <f>ventas[[#This Row],[total]]*iva_ventas</f>
        <v>3675</v>
      </c>
      <c r="I11" s="56">
        <f>ventas[[#This Row],[total]]+ventas[[#This Row],[iva]]</f>
        <v>21175</v>
      </c>
      <c r="J11" s="55">
        <v>44828</v>
      </c>
      <c r="L11" s="57"/>
    </row>
    <row r="12" spans="1:12" x14ac:dyDescent="0.25">
      <c r="D12">
        <v>11</v>
      </c>
      <c r="E12">
        <v>4</v>
      </c>
      <c r="F12" s="56">
        <v>4400</v>
      </c>
      <c r="G12" s="56">
        <f>ventas[[#This Row],[cant]]*ventas[[#This Row],[precio]]</f>
        <v>17600</v>
      </c>
      <c r="H12" s="56">
        <f>ventas[[#This Row],[total]]*iva_ventas</f>
        <v>3696</v>
      </c>
      <c r="I12" s="56">
        <f>ventas[[#This Row],[total]]+ventas[[#This Row],[iva]]</f>
        <v>21296</v>
      </c>
      <c r="J12" s="55">
        <v>44828</v>
      </c>
      <c r="L12" s="57"/>
    </row>
    <row r="13" spans="1:12" x14ac:dyDescent="0.25">
      <c r="D13">
        <v>20</v>
      </c>
      <c r="E13">
        <v>3</v>
      </c>
      <c r="F13" s="56">
        <v>3500</v>
      </c>
      <c r="G13" s="56">
        <f>ventas[[#This Row],[cant]]*ventas[[#This Row],[precio]]</f>
        <v>10500</v>
      </c>
      <c r="H13" s="56">
        <f>ventas[[#This Row],[total]]*iva_ventas</f>
        <v>2205</v>
      </c>
      <c r="I13" s="56">
        <f>ventas[[#This Row],[total]]+ventas[[#This Row],[iva]]</f>
        <v>12705</v>
      </c>
      <c r="J13" s="55">
        <v>44829</v>
      </c>
      <c r="L13" s="57"/>
    </row>
    <row r="14" spans="1:12" x14ac:dyDescent="0.25">
      <c r="D14">
        <v>10</v>
      </c>
      <c r="E14">
        <v>2</v>
      </c>
      <c r="F14" s="56">
        <v>7300</v>
      </c>
      <c r="G14" s="56">
        <f>ventas[[#This Row],[cant]]*ventas[[#This Row],[precio]]</f>
        <v>14600</v>
      </c>
      <c r="H14" s="56">
        <f>ventas[[#This Row],[total]]*iva_ventas</f>
        <v>3066</v>
      </c>
      <c r="I14" s="56">
        <f>ventas[[#This Row],[total]]+ventas[[#This Row],[iva]]</f>
        <v>17666</v>
      </c>
      <c r="J14" s="55">
        <v>44829</v>
      </c>
      <c r="L14" s="57"/>
    </row>
    <row r="15" spans="1:12" x14ac:dyDescent="0.25">
      <c r="D15">
        <v>40</v>
      </c>
      <c r="E15">
        <v>3</v>
      </c>
      <c r="F15" s="56">
        <v>6200</v>
      </c>
      <c r="G15" s="56">
        <f>ventas[[#This Row],[cant]]*ventas[[#This Row],[precio]]</f>
        <v>18600</v>
      </c>
      <c r="H15" s="56">
        <f>ventas[[#This Row],[total]]*iva_ventas</f>
        <v>3906</v>
      </c>
      <c r="I15" s="56">
        <f>ventas[[#This Row],[total]]+ventas[[#This Row],[iva]]</f>
        <v>22506</v>
      </c>
      <c r="J15" s="55">
        <v>44830</v>
      </c>
      <c r="L15" s="57"/>
    </row>
    <row r="16" spans="1:12" x14ac:dyDescent="0.25">
      <c r="D16">
        <v>20</v>
      </c>
      <c r="E16">
        <v>2</v>
      </c>
      <c r="F16" s="56">
        <v>3500</v>
      </c>
      <c r="G16" s="56">
        <f>ventas[[#This Row],[cant]]*ventas[[#This Row],[precio]]</f>
        <v>7000</v>
      </c>
      <c r="H16" s="56">
        <f>ventas[[#This Row],[total]]*iva_ventas</f>
        <v>1470</v>
      </c>
      <c r="I16" s="56">
        <f>ventas[[#This Row],[total]]+ventas[[#This Row],[iva]]</f>
        <v>8470</v>
      </c>
      <c r="J16" s="55">
        <v>44830</v>
      </c>
    </row>
    <row r="17" spans="4:10" x14ac:dyDescent="0.25">
      <c r="D17">
        <v>11</v>
      </c>
      <c r="E17">
        <v>2</v>
      </c>
      <c r="F17" s="56">
        <v>4400</v>
      </c>
      <c r="G17" s="56">
        <f>ventas[[#This Row],[cant]]*ventas[[#This Row],[precio]]</f>
        <v>8800</v>
      </c>
      <c r="H17" s="56">
        <f>ventas[[#This Row],[total]]*iva_ventas</f>
        <v>1848</v>
      </c>
      <c r="I17" s="56">
        <f>ventas[[#This Row],[total]]+ventas[[#This Row],[iva]]</f>
        <v>10648</v>
      </c>
      <c r="J17" s="55">
        <v>44830</v>
      </c>
    </row>
    <row r="18" spans="4:10" x14ac:dyDescent="0.25">
      <c r="D18">
        <v>10</v>
      </c>
      <c r="E18">
        <v>5</v>
      </c>
      <c r="F18" s="56">
        <v>7300</v>
      </c>
      <c r="G18" s="69">
        <f>ventas[[#This Row],[cant]]*ventas[[#This Row],[precio]]</f>
        <v>36500</v>
      </c>
      <c r="H18" s="69">
        <f>ventas[[#This Row],[total]]*iva_ventas</f>
        <v>7665</v>
      </c>
      <c r="I18" s="69">
        <f>ventas[[#This Row],[total]]+ventas[[#This Row],[iva]]</f>
        <v>44165</v>
      </c>
      <c r="J18" s="55">
        <v>44831</v>
      </c>
    </row>
    <row r="19" spans="4:10" x14ac:dyDescent="0.25">
      <c r="D19">
        <v>3</v>
      </c>
      <c r="E19">
        <v>2</v>
      </c>
      <c r="F19" s="56">
        <v>5600</v>
      </c>
      <c r="G19" s="69">
        <f>ventas[[#This Row],[cant]]*ventas[[#This Row],[precio]]</f>
        <v>11200</v>
      </c>
      <c r="H19" s="69">
        <f>ventas[[#This Row],[total]]*iva_ventas</f>
        <v>2352</v>
      </c>
      <c r="I19" s="69">
        <f>ventas[[#This Row],[total]]+ventas[[#This Row],[iva]]</f>
        <v>13552</v>
      </c>
      <c r="J19" s="55">
        <v>44806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10</vt:i4>
      </vt:variant>
    </vt:vector>
  </HeadingPairs>
  <TitlesOfParts>
    <vt:vector size="18" baseType="lpstr">
      <vt:lpstr>menu</vt:lpstr>
      <vt:lpstr>introduccion</vt:lpstr>
      <vt:lpstr>listas</vt:lpstr>
      <vt:lpstr>operadores</vt:lpstr>
      <vt:lpstr>empleados</vt:lpstr>
      <vt:lpstr>asistencia</vt:lpstr>
      <vt:lpstr>productos</vt:lpstr>
      <vt:lpstr>ventas</vt:lpstr>
      <vt:lpstr>asistencia!Área_de_impresión</vt:lpstr>
      <vt:lpstr>asist</vt:lpstr>
      <vt:lpstr>aus</vt:lpstr>
      <vt:lpstr>datos_hoy</vt:lpstr>
      <vt:lpstr>hoy</vt:lpstr>
      <vt:lpstr>iva_ventas</vt:lpstr>
      <vt:lpstr>jornada</vt:lpstr>
      <vt:lpstr>separador</vt:lpstr>
      <vt:lpstr>sueldos</vt:lpstr>
      <vt:lpstr>valor_hora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2022-10-06T14:20:23Z</cp:lastPrinted>
  <dcterms:created xsi:type="dcterms:W3CDTF">2022-09-22T13:53:21Z</dcterms:created>
  <dcterms:modified xsi:type="dcterms:W3CDTF">2022-10-06T15:31:34Z</dcterms:modified>
</cp:coreProperties>
</file>