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x15\"/>
    </mc:Choice>
  </mc:AlternateContent>
  <xr:revisionPtr revIDLastSave="0" documentId="8_{4530E821-4819-4F94-B48C-B0F23C6E08D9}" xr6:coauthVersionLast="47" xr6:coauthVersionMax="47" xr10:uidLastSave="{00000000-0000-0000-0000-000000000000}"/>
  <bookViews>
    <workbookView xWindow="-120" yWindow="-120" windowWidth="20730" windowHeight="11040" activeTab="1" xr2:uid="{3E9C49A6-A9BE-4135-BB45-FA066360A8CA}"/>
  </bookViews>
  <sheets>
    <sheet name="presentismo" sheetId="1" r:id="rId1"/>
    <sheet name="ventas" sheetId="2" r:id="rId2"/>
  </sheets>
  <definedNames>
    <definedName name="IVA">ventas!$A$2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A9" i="1"/>
  <c r="B9" i="1"/>
  <c r="AF4" i="1"/>
  <c r="AF2" i="1"/>
  <c r="AG2" i="1"/>
  <c r="AK5" i="1" s="1"/>
  <c r="AF3" i="1"/>
  <c r="AG3" i="1"/>
  <c r="AG4" i="1"/>
  <c r="AF5" i="1"/>
  <c r="AG5" i="1"/>
  <c r="AF7" i="1"/>
  <c r="AG7" i="1"/>
  <c r="AF8" i="1"/>
  <c r="AG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6" i="1"/>
  <c r="AG6" i="1" s="1"/>
  <c r="AE9" i="1" l="1"/>
  <c r="AK8" i="1"/>
  <c r="AK6" i="1"/>
  <c r="AK7" i="1"/>
  <c r="AK2" i="1"/>
  <c r="AG9" i="1"/>
  <c r="AF6" i="1"/>
  <c r="AJ7" i="1" s="1"/>
  <c r="AK4" i="1"/>
  <c r="AK3" i="1"/>
  <c r="AJ6" i="1" l="1"/>
  <c r="AJ8" i="1"/>
  <c r="AF9" i="1"/>
  <c r="AJ5" i="1"/>
  <c r="AJ2" i="1"/>
  <c r="AJ4" i="1"/>
  <c r="AJ3" i="1"/>
</calcChain>
</file>

<file path=xl/sharedStrings.xml><?xml version="1.0" encoding="utf-8"?>
<sst xmlns="http://schemas.openxmlformats.org/spreadsheetml/2006/main" count="209" uniqueCount="54">
  <si>
    <t>Empleado</t>
  </si>
  <si>
    <t>Cristian Damian, Racedo</t>
  </si>
  <si>
    <t>Martinez, Mariano</t>
  </si>
  <si>
    <t>Belen, Tambella</t>
  </si>
  <si>
    <t>Francisca, Casas</t>
  </si>
  <si>
    <t>Romina, Gurruchaga</t>
  </si>
  <si>
    <t>Juan, Perez</t>
  </si>
  <si>
    <t>Gonzalez, Gonzalo</t>
  </si>
  <si>
    <t>1/9/22</t>
  </si>
  <si>
    <t>2/9/22</t>
  </si>
  <si>
    <t>3/9/22</t>
  </si>
  <si>
    <t>4/9/22</t>
  </si>
  <si>
    <t>5/9/22</t>
  </si>
  <si>
    <t>6/9/22</t>
  </si>
  <si>
    <t>7/9/22</t>
  </si>
  <si>
    <t>8/9/22</t>
  </si>
  <si>
    <t>9/9/22</t>
  </si>
  <si>
    <t>10/9/22</t>
  </si>
  <si>
    <t>11/9/22</t>
  </si>
  <si>
    <t>12/9/22</t>
  </si>
  <si>
    <t>13/9/22</t>
  </si>
  <si>
    <t>14/9/22</t>
  </si>
  <si>
    <t>15/9/22</t>
  </si>
  <si>
    <t>16/9/22</t>
  </si>
  <si>
    <t>17/9/22</t>
  </si>
  <si>
    <t>18/9/22</t>
  </si>
  <si>
    <t>19/9/22</t>
  </si>
  <si>
    <t>20/9/22</t>
  </si>
  <si>
    <t>21/9/22</t>
  </si>
  <si>
    <t>22/9/22</t>
  </si>
  <si>
    <t>23/9/22</t>
  </si>
  <si>
    <t>24/9/22</t>
  </si>
  <si>
    <t>25/9/22</t>
  </si>
  <si>
    <t>26/9/22</t>
  </si>
  <si>
    <t>27/9/22</t>
  </si>
  <si>
    <t>28/9/22</t>
  </si>
  <si>
    <t>29/9/22</t>
  </si>
  <si>
    <t>30/9/22</t>
  </si>
  <si>
    <t>asist</t>
  </si>
  <si>
    <t>aus</t>
  </si>
  <si>
    <t>p</t>
  </si>
  <si>
    <t>Estadisticas</t>
  </si>
  <si>
    <t>mayor</t>
  </si>
  <si>
    <t>menor</t>
  </si>
  <si>
    <t>promedio</t>
  </si>
  <si>
    <t>mediana</t>
  </si>
  <si>
    <t>cantidad</t>
  </si>
  <si>
    <t>total</t>
  </si>
  <si>
    <t>moda</t>
  </si>
  <si>
    <t>codigo</t>
  </si>
  <si>
    <t>precio</t>
  </si>
  <si>
    <t>total + iva</t>
  </si>
  <si>
    <t>iva</t>
  </si>
  <si>
    <t>valor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</si>
</sst>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d/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0" fontId="0" fillId="0" borderId="0" xfId="0" applyNumberFormat="1"/>
    <xf numFmtId="2" fontId="0" fillId="0" borderId="0" xfId="0" applyNumberFormat="1"/>
    <xf numFmtId="44" fontId="0" fillId="0" borderId="0" xfId="1" applyFont="1"/>
    <xf numFmtId="9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23">
    <dxf>
      <numFmt numFmtId="34" formatCode="_-&quot;$&quot;\ * #,##0.00_-;\-&quot;$&quot;\ * #,##0.00_-;_-&quot;$&quot;\ * &quot;-&quot;??_-;_-@_-"/>
    </dxf>
    <dxf>
      <alignment horizontal="center" vertical="center" textRotation="0" wrapText="0" indent="0" justifyLastLine="0" shrinkToFit="0" readingOrder="0"/>
    </dxf>
    <dxf>
      <numFmt numFmtId="34" formatCode="_-&quot;$&quot;\ * #,##0.00_-;\-&quot;$&quot;\ * #,##0.00_-;_-&quot;$&quot;\ * &quot;-&quot;??_-;_-@_-"/>
    </dxf>
    <dxf>
      <numFmt numFmtId="0" formatCode="General"/>
    </dxf>
    <dxf>
      <numFmt numFmtId="0" formatCode="General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</dxf>
    <dxf>
      <numFmt numFmtId="165" formatCode="d/m/yy;@"/>
      <alignment horizontal="center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39B5D-32B5-4255-83E1-E29C47CE9F2B}" name="presentismo" displayName="presentismo" ref="A1:AG9" totalsRowCount="1" headerRowDxfId="22">
  <autoFilter ref="A1:AG8" xr:uid="{ABC39B5D-32B5-4255-83E1-E29C47CE9F2B}"/>
  <tableColumns count="33">
    <tableColumn id="1" xr3:uid="{63E8AE85-7078-42EA-8049-5AA43D1477D3}" name="Empleado" totalsRowFunction="custom">
      <totalsRowFormula>COUNTA(presentismo[Empleado])</totalsRowFormula>
    </tableColumn>
    <tableColumn id="2" xr3:uid="{009B11C5-9A79-4451-B4DF-A9A85993307E}" name="1/9/22" totalsRowFunction="custom">
      <totalsRowFormula>COUNTBLANK(presentismo[1/9/22])</totalsRowFormula>
    </tableColumn>
    <tableColumn id="3" xr3:uid="{13839942-7C3B-4C39-B28B-AC898EBACE02}" name="2/9/22" totalsRowFunction="custom">
      <totalsRowFormula>COUNTBLANK(presentismo[2/9/22])</totalsRowFormula>
    </tableColumn>
    <tableColumn id="4" xr3:uid="{9A72A611-7760-462B-A7C7-BD0D332F5CA9}" name="3/9/22" totalsRowFunction="custom" dataDxfId="21">
      <totalsRowFormula>COUNTBLANK(presentismo[3/9/22])</totalsRowFormula>
    </tableColumn>
    <tableColumn id="5" xr3:uid="{AC62A34A-0D01-470A-AB5F-268BDE4B1AD7}" name="4/9/22" totalsRowFunction="custom" dataDxfId="20">
      <totalsRowFormula>COUNTBLANK(presentismo[4/9/22])</totalsRowFormula>
    </tableColumn>
    <tableColumn id="6" xr3:uid="{39BC89E1-33D7-4B87-A051-3A42F7FD183C}" name="5/9/22" totalsRowFunction="custom" dataDxfId="19">
      <totalsRowFormula>COUNTBLANK(presentismo[5/9/22])</totalsRowFormula>
    </tableColumn>
    <tableColumn id="7" xr3:uid="{FD1A76DA-6C14-47F4-B7DE-192BC1144799}" name="6/9/22" totalsRowFunction="custom" dataDxfId="18">
      <totalsRowFormula>COUNTBLANK(presentismo[6/9/22])</totalsRowFormula>
    </tableColumn>
    <tableColumn id="8" xr3:uid="{72EE9BAD-45DB-49B3-BC94-2F2023604AC1}" name="7/9/22" totalsRowFunction="custom" dataDxfId="17">
      <totalsRowFormula>COUNTBLANK(presentismo[7/9/22])</totalsRowFormula>
    </tableColumn>
    <tableColumn id="9" xr3:uid="{AEB66E77-4AC8-4C77-84DC-301D9C357E10}" name="8/9/22" totalsRowFunction="custom" dataDxfId="16">
      <totalsRowFormula>COUNTBLANK(presentismo[8/9/22])</totalsRowFormula>
    </tableColumn>
    <tableColumn id="10" xr3:uid="{D7BBB940-F1FD-469E-99D4-E0E8F08DA48C}" name="9/9/22" totalsRowFunction="custom" dataDxfId="15">
      <totalsRowFormula>COUNTBLANK(presentismo[9/9/22])</totalsRowFormula>
    </tableColumn>
    <tableColumn id="11" xr3:uid="{E013540E-F42C-4310-9BD2-372E388003A4}" name="10/9/22" totalsRowFunction="custom">
      <totalsRowFormula>COUNTBLANK(presentismo[10/9/22])</totalsRowFormula>
    </tableColumn>
    <tableColumn id="12" xr3:uid="{FBCCE449-80B0-44D4-808E-708C7F3319C7}" name="11/9/22" totalsRowFunction="custom">
      <totalsRowFormula>COUNTBLANK(presentismo[11/9/22])</totalsRowFormula>
    </tableColumn>
    <tableColumn id="13" xr3:uid="{C9768850-87D3-41F3-A42C-9A2B7172C26B}" name="12/9/22" totalsRowFunction="custom">
      <totalsRowFormula>COUNTBLANK(presentismo[12/9/22])</totalsRowFormula>
    </tableColumn>
    <tableColumn id="14" xr3:uid="{4693F526-AC90-4841-84B4-892220E62612}" name="13/9/22" totalsRowFunction="custom">
      <totalsRowFormula>COUNTBLANK(presentismo[13/9/22])</totalsRowFormula>
    </tableColumn>
    <tableColumn id="15" xr3:uid="{3A6651B3-27FE-4C73-8D91-56C5E69806A8}" name="14/9/22" totalsRowFunction="custom">
      <totalsRowFormula>COUNTBLANK(presentismo[14/9/22])</totalsRowFormula>
    </tableColumn>
    <tableColumn id="16" xr3:uid="{36B417AE-F126-4023-BEBD-61D669212878}" name="15/9/22" totalsRowFunction="custom">
      <totalsRowFormula>COUNTBLANK(presentismo[15/9/22])</totalsRowFormula>
    </tableColumn>
    <tableColumn id="17" xr3:uid="{E12E6B64-259F-4DA7-B839-F31717D40A22}" name="16/9/22" totalsRowFunction="custom" dataDxfId="14">
      <totalsRowFormula>COUNTBLANK(presentismo[16/9/22])</totalsRowFormula>
    </tableColumn>
    <tableColumn id="18" xr3:uid="{58362C88-F69A-43C0-9D9A-684A8905968E}" name="17/9/22" totalsRowFunction="custom" dataDxfId="13">
      <totalsRowFormula>COUNTBLANK(presentismo[17/9/22])</totalsRowFormula>
    </tableColumn>
    <tableColumn id="19" xr3:uid="{C3058D62-1CAE-47E2-8346-A028F946A203}" name="18/9/22" totalsRowFunction="custom" dataDxfId="12">
      <totalsRowFormula>COUNTBLANK(presentismo[18/9/22])</totalsRowFormula>
    </tableColumn>
    <tableColumn id="20" xr3:uid="{A533AA87-A012-4B18-93F9-B7554A868A7C}" name="19/9/22" totalsRowFunction="custom" dataDxfId="11">
      <totalsRowFormula>COUNTBLANK(presentismo[19/9/22])</totalsRowFormula>
    </tableColumn>
    <tableColumn id="21" xr3:uid="{7D16EBB2-4A0A-40CE-B424-0DA3F09EB849}" name="20/9/22" totalsRowFunction="custom" dataDxfId="10">
      <totalsRowFormula>COUNTBLANK(presentismo[20/9/22])</totalsRowFormula>
    </tableColumn>
    <tableColumn id="22" xr3:uid="{27C05328-2466-48CF-AD99-1C66D6AF5B21}" name="21/9/22" totalsRowFunction="custom" dataDxfId="9">
      <totalsRowFormula>COUNTBLANK(presentismo[21/9/22])</totalsRowFormula>
    </tableColumn>
    <tableColumn id="23" xr3:uid="{7EA9120E-0252-4278-9845-2325FC6A55DB}" name="22/9/22" totalsRowFunction="custom" dataDxfId="8">
      <totalsRowFormula>COUNTBLANK(presentismo[22/9/22])</totalsRowFormula>
    </tableColumn>
    <tableColumn id="24" xr3:uid="{F327F5D0-2B53-4E47-9DB6-4B3AFEA7020F}" name="23/9/22" totalsRowFunction="custom" dataDxfId="7">
      <totalsRowFormula>COUNTBLANK(presentismo[23/9/22])</totalsRowFormula>
    </tableColumn>
    <tableColumn id="25" xr3:uid="{E2B3D0DD-E9FE-47CE-9300-9DEF701345F6}" name="24/9/22" totalsRowFunction="custom" dataDxfId="6">
      <totalsRowFormula>COUNTBLANK(presentismo[24/9/22])</totalsRowFormula>
    </tableColumn>
    <tableColumn id="26" xr3:uid="{624B1A60-489E-4F85-B8A7-06DD389AF174}" name="25/9/22" totalsRowFunction="custom" dataDxfId="5">
      <totalsRowFormula>COUNTBLANK(presentismo[25/9/22])</totalsRowFormula>
    </tableColumn>
    <tableColumn id="27" xr3:uid="{AA931E08-C2D5-4EEC-882D-D051DE15F54E}" name="26/9/22" totalsRowFunction="custom">
      <totalsRowFormula>COUNTBLANK(presentismo[26/9/22])</totalsRowFormula>
    </tableColumn>
    <tableColumn id="28" xr3:uid="{0D9EFFDD-E112-46EE-B66F-908C649CD88E}" name="27/9/22" totalsRowFunction="custom">
      <totalsRowFormula>COUNTBLANK(presentismo[27/9/22])</totalsRowFormula>
    </tableColumn>
    <tableColumn id="29" xr3:uid="{FF5A027C-A024-47CC-BB8B-E1DBA74F5B20}" name="28/9/22" totalsRowFunction="custom">
      <totalsRowFormula>COUNTBLANK(presentismo[28/9/22])</totalsRowFormula>
    </tableColumn>
    <tableColumn id="30" xr3:uid="{F7D35616-5B55-4F3F-AD21-24E9A1DA0890}" name="29/9/22" totalsRowFunction="custom">
      <totalsRowFormula>COUNTBLANK(presentismo[29/9/22])</totalsRowFormula>
    </tableColumn>
    <tableColumn id="31" xr3:uid="{480A7E2D-67A4-4E7B-B27F-A24C65D91962}" name="30/9/22" totalsRowFunction="custom">
      <totalsRowFormula>COUNTBLANK(presentismo[30/9/22])</totalsRowFormula>
    </tableColumn>
    <tableColumn id="32" xr3:uid="{133DF08D-95F8-4230-91B5-56B9A79C2352}" name="asist" totalsRowFunction="sum" dataDxfId="4">
      <calculatedColumnFormula>COUNTA(B2:AE2)</calculatedColumnFormula>
    </tableColumn>
    <tableColumn id="33" xr3:uid="{133D5CC8-5838-4915-83E6-667360020595}" name="aus" totalsRowFunction="sum" dataDxfId="3">
      <calculatedColumnFormula>COUNTBLANK(B2:AE2)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E4641-B35C-4CD9-92FE-750A373E4194}" name="estadisticas" displayName="estadisticas" ref="AI1:AK8" totalsRowShown="0" headerRowDxfId="1">
  <autoFilter ref="AI1:AK8" xr:uid="{AC0E4641-B35C-4CD9-92FE-750A373E4194}"/>
  <tableColumns count="3">
    <tableColumn id="1" xr3:uid="{CE7D112E-6D17-4595-9933-39DA72A6ADB2}" name="Estadisticas"/>
    <tableColumn id="2" xr3:uid="{6325A483-F5AB-48C4-90E7-322EEB007858}" name="asist"/>
    <tableColumn id="3" xr3:uid="{564785AD-6ABD-4027-9AC3-082AAB9A719E}" name="a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C6C52-D787-4FC6-AFA0-FD8E50F20616}" name="Tabla3" displayName="Tabla3" ref="D1:I14" totalsRowShown="0">
  <autoFilter ref="D1:I14" xr:uid="{2A4C6C52-D787-4FC6-AFA0-FD8E50F20616}"/>
  <tableColumns count="6">
    <tableColumn id="1" xr3:uid="{235508B6-CDDA-4EA1-B28D-65EBF7CD1799}" name="codigo"/>
    <tableColumn id="2" xr3:uid="{8418F708-B989-4B48-A3D5-C3563D76826C}" name="cantidad"/>
    <tableColumn id="3" xr3:uid="{9A3F2347-F66F-40C9-9D2C-5CBF9E1ABEB0}" name="precio" dataCellStyle="Moneda"/>
    <tableColumn id="4" xr3:uid="{1CDDF001-38DE-47F2-99C3-34245BD5FC13}" name="total" dataDxfId="2">
      <calculatedColumnFormula>Tabla3[[#This Row],[cantidad]]*Tabla3[[#This Row],[precio]]</calculatedColumnFormula>
    </tableColumn>
    <tableColumn id="6" xr3:uid="{8A17BE2C-FF25-4E24-8411-416A465EFECF}" name="valor iva" dataDxfId="0">
      <calculatedColumnFormula>Tabla3[[#This Row],[total]]*IVA</calculatedColumnFormula>
    </tableColumn>
    <tableColumn id="5" xr3:uid="{58D7CF16-F506-492A-888F-6176275B68FC}" name="total + i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158F-7E6E-415D-AB2C-1E38F056A653}">
  <dimension ref="A1:AK12"/>
  <sheetViews>
    <sheetView zoomScale="145" zoomScaleNormal="145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O2" sqref="AO2"/>
    </sheetView>
  </sheetViews>
  <sheetFormatPr baseColWidth="10" defaultRowHeight="15" x14ac:dyDescent="0.25"/>
  <cols>
    <col min="1" max="1" width="21.85546875" customWidth="1"/>
    <col min="2" max="31" width="4.85546875" customWidth="1"/>
    <col min="32" max="33" width="8.28515625" bestFit="1" customWidth="1"/>
    <col min="34" max="34" width="3.42578125" customWidth="1"/>
    <col min="35" max="35" width="11.85546875" customWidth="1"/>
    <col min="36" max="36" width="5.85546875" customWidth="1"/>
    <col min="37" max="37" width="5.5703125" customWidth="1"/>
    <col min="39" max="39" width="11.85546875" bestFit="1" customWidth="1"/>
  </cols>
  <sheetData>
    <row r="1" spans="1:37" s="2" customFormat="1" ht="45.75" customHeight="1" x14ac:dyDescent="0.25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I1" s="2" t="s">
        <v>41</v>
      </c>
      <c r="AJ1" s="2" t="s">
        <v>38</v>
      </c>
      <c r="AK1" s="2" t="s">
        <v>39</v>
      </c>
    </row>
    <row r="2" spans="1:37" x14ac:dyDescent="0.25">
      <c r="A2" t="s">
        <v>1</v>
      </c>
      <c r="B2" s="1" t="s">
        <v>40</v>
      </c>
      <c r="C2" s="1"/>
      <c r="D2" s="1" t="s">
        <v>40</v>
      </c>
      <c r="E2" s="1" t="s">
        <v>40</v>
      </c>
      <c r="F2" s="1" t="s">
        <v>40</v>
      </c>
      <c r="G2" s="1"/>
      <c r="H2" s="1" t="s">
        <v>40</v>
      </c>
      <c r="I2" t="s">
        <v>40</v>
      </c>
      <c r="J2" t="s">
        <v>40</v>
      </c>
      <c r="K2" t="s">
        <v>40</v>
      </c>
      <c r="M2" s="1"/>
      <c r="N2" s="1" t="s">
        <v>40</v>
      </c>
      <c r="O2" s="1" t="s">
        <v>40</v>
      </c>
      <c r="P2" s="1"/>
      <c r="Q2" s="1" t="s">
        <v>40</v>
      </c>
      <c r="R2" s="1"/>
      <c r="S2" s="1" t="s">
        <v>40</v>
      </c>
      <c r="T2" s="1" t="s">
        <v>40</v>
      </c>
      <c r="U2" s="1" t="s">
        <v>40</v>
      </c>
      <c r="V2" s="1" t="s">
        <v>40</v>
      </c>
      <c r="W2" s="1"/>
      <c r="X2" t="s">
        <v>40</v>
      </c>
      <c r="Y2" t="s">
        <v>40</v>
      </c>
      <c r="Z2" s="1"/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>
        <f>COUNTA(B2:AE2)</f>
        <v>22</v>
      </c>
      <c r="AG2">
        <f>COUNTBLANK(B2:AE2)</f>
        <v>8</v>
      </c>
      <c r="AI2" t="s">
        <v>42</v>
      </c>
      <c r="AJ2">
        <f>MAX(presentismo[asist])</f>
        <v>26</v>
      </c>
      <c r="AK2">
        <f>MAX(presentismo[aus])</f>
        <v>12</v>
      </c>
    </row>
    <row r="3" spans="1:37" x14ac:dyDescent="0.25">
      <c r="A3" t="s">
        <v>2</v>
      </c>
      <c r="B3" s="1"/>
      <c r="C3" s="1" t="s">
        <v>40</v>
      </c>
      <c r="D3" s="1" t="s">
        <v>40</v>
      </c>
      <c r="E3" s="1" t="s">
        <v>40</v>
      </c>
      <c r="F3" s="1"/>
      <c r="G3" s="1" t="s">
        <v>40</v>
      </c>
      <c r="H3" s="1"/>
      <c r="I3" t="s">
        <v>40</v>
      </c>
      <c r="J3" t="s">
        <v>40</v>
      </c>
      <c r="K3" t="s">
        <v>40</v>
      </c>
      <c r="L3" t="s">
        <v>40</v>
      </c>
      <c r="M3" s="1" t="s">
        <v>40</v>
      </c>
      <c r="N3" s="1"/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Y3" t="s">
        <v>40</v>
      </c>
      <c r="Z3" s="1" t="s">
        <v>40</v>
      </c>
      <c r="AA3" s="1" t="s">
        <v>40</v>
      </c>
      <c r="AB3" s="1" t="s">
        <v>40</v>
      </c>
      <c r="AC3" s="1"/>
      <c r="AD3" t="s">
        <v>40</v>
      </c>
      <c r="AE3" t="s">
        <v>40</v>
      </c>
      <c r="AF3">
        <f>COUNTA(B3:AE3)</f>
        <v>24</v>
      </c>
      <c r="AG3">
        <f>COUNTBLANK(B3:AE3)</f>
        <v>6</v>
      </c>
      <c r="AI3" t="s">
        <v>43</v>
      </c>
      <c r="AJ3">
        <f>MIN(presentismo[asist])</f>
        <v>18</v>
      </c>
      <c r="AK3">
        <f>MIN(presentismo[aus])</f>
        <v>5</v>
      </c>
    </row>
    <row r="4" spans="1:37" x14ac:dyDescent="0.25">
      <c r="A4" t="s">
        <v>3</v>
      </c>
      <c r="B4" s="1" t="s">
        <v>40</v>
      </c>
      <c r="C4" s="1"/>
      <c r="D4" s="1" t="s">
        <v>40</v>
      </c>
      <c r="E4" s="1"/>
      <c r="F4" s="1" t="s">
        <v>40</v>
      </c>
      <c r="G4" s="1" t="s">
        <v>40</v>
      </c>
      <c r="H4" s="1" t="s">
        <v>40</v>
      </c>
      <c r="J4" t="s">
        <v>40</v>
      </c>
      <c r="K4" t="s">
        <v>40</v>
      </c>
      <c r="M4" t="s">
        <v>40</v>
      </c>
      <c r="N4" t="s">
        <v>40</v>
      </c>
      <c r="P4" s="1"/>
      <c r="Q4" s="1" t="s">
        <v>40</v>
      </c>
      <c r="R4" s="1"/>
      <c r="S4" s="1" t="s">
        <v>40</v>
      </c>
      <c r="T4" s="1"/>
      <c r="U4" s="1" t="s">
        <v>40</v>
      </c>
      <c r="V4" s="1"/>
      <c r="W4" t="s">
        <v>40</v>
      </c>
      <c r="X4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E4" t="s">
        <v>40</v>
      </c>
      <c r="AF4">
        <f>COUNTA(B4:AE4)</f>
        <v>20</v>
      </c>
      <c r="AG4">
        <f>COUNTBLANK(B4:AE4)</f>
        <v>10</v>
      </c>
      <c r="AI4" t="s">
        <v>44</v>
      </c>
      <c r="AJ4" s="5">
        <f>AVERAGE(presentismo[asist])</f>
        <v>21.857142857142858</v>
      </c>
      <c r="AK4" s="5">
        <f>AVERAGE(presentismo[aus])</f>
        <v>8.2857142857142865</v>
      </c>
    </row>
    <row r="5" spans="1:37" x14ac:dyDescent="0.25">
      <c r="A5" t="s">
        <v>4</v>
      </c>
      <c r="B5" t="s">
        <v>40</v>
      </c>
      <c r="C5" t="s">
        <v>40</v>
      </c>
      <c r="E5" t="s">
        <v>40</v>
      </c>
      <c r="F5" s="1" t="s">
        <v>40</v>
      </c>
      <c r="G5" s="1" t="s">
        <v>40</v>
      </c>
      <c r="H5" s="1" t="s">
        <v>40</v>
      </c>
      <c r="I5" s="1"/>
      <c r="J5" s="1" t="s">
        <v>40</v>
      </c>
      <c r="K5" t="s">
        <v>40</v>
      </c>
      <c r="L5" t="s">
        <v>40</v>
      </c>
      <c r="M5" t="s">
        <v>40</v>
      </c>
      <c r="O5" s="1"/>
      <c r="P5" t="s">
        <v>40</v>
      </c>
      <c r="Q5" s="1"/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/>
      <c r="AA5" t="s">
        <v>40</v>
      </c>
      <c r="AB5" t="s">
        <v>40</v>
      </c>
      <c r="AC5" t="s">
        <v>40</v>
      </c>
      <c r="AD5" t="s">
        <v>40</v>
      </c>
      <c r="AE5" s="1" t="s">
        <v>40</v>
      </c>
      <c r="AF5">
        <f>COUNTA(B5:AE5)</f>
        <v>24</v>
      </c>
      <c r="AG5">
        <f>COUNTBLANK(B5:AE5)</f>
        <v>6</v>
      </c>
      <c r="AI5" t="s">
        <v>45</v>
      </c>
      <c r="AJ5">
        <f>MEDIAN(presentismo[asist])</f>
        <v>22</v>
      </c>
      <c r="AK5">
        <f>MEDIAN(presentismo[aus])</f>
        <v>8</v>
      </c>
    </row>
    <row r="6" spans="1:37" x14ac:dyDescent="0.25">
      <c r="A6" t="s">
        <v>5</v>
      </c>
      <c r="B6" t="s">
        <v>40</v>
      </c>
      <c r="C6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1"/>
      <c r="I6" s="1" t="s">
        <v>40</v>
      </c>
      <c r="J6" s="1"/>
      <c r="K6" t="s">
        <v>40</v>
      </c>
      <c r="L6" t="s">
        <v>40</v>
      </c>
      <c r="M6" t="s">
        <v>40</v>
      </c>
      <c r="N6" t="s">
        <v>40</v>
      </c>
      <c r="O6" s="1" t="s">
        <v>40</v>
      </c>
      <c r="P6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B6" t="s">
        <v>40</v>
      </c>
      <c r="AD6" t="s">
        <v>40</v>
      </c>
      <c r="AE6" s="1" t="str">
        <f>TRIM(AE7)</f>
        <v/>
      </c>
      <c r="AF6">
        <f>COUNTA(B6:AE6)</f>
        <v>26</v>
      </c>
      <c r="AG6">
        <f>COUNTBLANK(B6:AE6)</f>
        <v>5</v>
      </c>
      <c r="AI6" t="s">
        <v>48</v>
      </c>
      <c r="AJ6">
        <f>MODE(presentismo[asist])</f>
        <v>24</v>
      </c>
      <c r="AK6">
        <f>MODE(presentismo[aus])</f>
        <v>6</v>
      </c>
    </row>
    <row r="7" spans="1:37" x14ac:dyDescent="0.25">
      <c r="A7" t="s">
        <v>6</v>
      </c>
      <c r="B7" t="s">
        <v>40</v>
      </c>
      <c r="C7" t="s">
        <v>40</v>
      </c>
      <c r="D7" s="1" t="s">
        <v>40</v>
      </c>
      <c r="E7" s="1" t="s">
        <v>40</v>
      </c>
      <c r="F7" s="1"/>
      <c r="G7" s="1"/>
      <c r="H7" s="1" t="s">
        <v>40</v>
      </c>
      <c r="I7" s="1" t="s">
        <v>40</v>
      </c>
      <c r="J7" s="1" t="s">
        <v>40</v>
      </c>
      <c r="L7" t="s">
        <v>40</v>
      </c>
      <c r="M7" t="s">
        <v>40</v>
      </c>
      <c r="O7" t="s">
        <v>40</v>
      </c>
      <c r="Q7" s="1"/>
      <c r="R7" s="1" t="s">
        <v>40</v>
      </c>
      <c r="S7" s="1" t="s">
        <v>40</v>
      </c>
      <c r="T7" s="1" t="s">
        <v>40</v>
      </c>
      <c r="U7" s="1" t="s">
        <v>40</v>
      </c>
      <c r="V7" s="1"/>
      <c r="W7" s="1"/>
      <c r="X7" s="1" t="s">
        <v>40</v>
      </c>
      <c r="Y7" s="1"/>
      <c r="Z7" t="s">
        <v>40</v>
      </c>
      <c r="AA7" t="s">
        <v>40</v>
      </c>
      <c r="AB7" s="1" t="s">
        <v>40</v>
      </c>
      <c r="AC7" s="1"/>
      <c r="AD7" s="1" t="s">
        <v>40</v>
      </c>
      <c r="AF7">
        <f>COUNTA(B7:AE7)</f>
        <v>19</v>
      </c>
      <c r="AG7">
        <f>COUNTBLANK(B7:AE7)</f>
        <v>11</v>
      </c>
      <c r="AI7" t="s">
        <v>46</v>
      </c>
      <c r="AJ7">
        <f>COUNT(presentismo[asist])</f>
        <v>7</v>
      </c>
      <c r="AK7">
        <f>COUNT(presentismo[aus])</f>
        <v>7</v>
      </c>
    </row>
    <row r="8" spans="1:37" x14ac:dyDescent="0.25">
      <c r="A8" t="s">
        <v>7</v>
      </c>
      <c r="C8" t="s">
        <v>40</v>
      </c>
      <c r="D8" s="1" t="s">
        <v>40</v>
      </c>
      <c r="E8" s="1"/>
      <c r="F8" s="1" t="s">
        <v>40</v>
      </c>
      <c r="G8" t="s">
        <v>40</v>
      </c>
      <c r="H8" s="1" t="s">
        <v>40</v>
      </c>
      <c r="I8" s="1" t="s">
        <v>40</v>
      </c>
      <c r="J8" s="1"/>
      <c r="K8" t="s">
        <v>40</v>
      </c>
      <c r="M8" t="s">
        <v>40</v>
      </c>
      <c r="O8" t="s">
        <v>40</v>
      </c>
      <c r="Q8" t="s">
        <v>40</v>
      </c>
      <c r="S8" s="1"/>
      <c r="T8" s="1" t="s">
        <v>40</v>
      </c>
      <c r="W8" s="1" t="s">
        <v>40</v>
      </c>
      <c r="X8" s="1" t="s">
        <v>40</v>
      </c>
      <c r="Y8" s="1" t="s">
        <v>40</v>
      </c>
      <c r="AA8" t="s">
        <v>40</v>
      </c>
      <c r="AB8" s="1"/>
      <c r="AC8" s="1" t="s">
        <v>40</v>
      </c>
      <c r="AD8" s="1" t="s">
        <v>40</v>
      </c>
      <c r="AE8" s="1" t="s">
        <v>40</v>
      </c>
      <c r="AF8">
        <f>COUNTA(B8:AE8)</f>
        <v>18</v>
      </c>
      <c r="AG8">
        <f>COUNTBLANK(B8:AE8)</f>
        <v>12</v>
      </c>
      <c r="AI8" t="s">
        <v>47</v>
      </c>
      <c r="AJ8">
        <f>SUM(presentismo[asist])</f>
        <v>153</v>
      </c>
      <c r="AK8">
        <f>SUM(presentismo[aus])</f>
        <v>58</v>
      </c>
    </row>
    <row r="9" spans="1:37" x14ac:dyDescent="0.25">
      <c r="A9">
        <f>COUNTA(presentismo[Empleado])</f>
        <v>7</v>
      </c>
      <c r="B9">
        <f>COUNTBLANK(presentismo[1/9/22])</f>
        <v>2</v>
      </c>
      <c r="C9">
        <f>COUNTBLANK(presentismo[2/9/22])</f>
        <v>2</v>
      </c>
      <c r="D9">
        <f>COUNTBLANK(presentismo[3/9/22])</f>
        <v>1</v>
      </c>
      <c r="E9">
        <f>COUNTBLANK(presentismo[4/9/22])</f>
        <v>2</v>
      </c>
      <c r="F9">
        <f>COUNTBLANK(presentismo[5/9/22])</f>
        <v>2</v>
      </c>
      <c r="G9">
        <f>COUNTBLANK(presentismo[6/9/22])</f>
        <v>2</v>
      </c>
      <c r="H9">
        <f>COUNTBLANK(presentismo[7/9/22])</f>
        <v>2</v>
      </c>
      <c r="I9">
        <f>COUNTBLANK(presentismo[8/9/22])</f>
        <v>2</v>
      </c>
      <c r="J9">
        <f>COUNTBLANK(presentismo[9/9/22])</f>
        <v>2</v>
      </c>
      <c r="K9">
        <f>COUNTBLANK(presentismo[10/9/22])</f>
        <v>1</v>
      </c>
      <c r="L9">
        <f>COUNTBLANK(presentismo[11/9/22])</f>
        <v>3</v>
      </c>
      <c r="M9">
        <f>COUNTBLANK(presentismo[12/9/22])</f>
        <v>1</v>
      </c>
      <c r="N9">
        <f>COUNTBLANK(presentismo[13/9/22])</f>
        <v>4</v>
      </c>
      <c r="O9">
        <f>COUNTBLANK(presentismo[14/9/22])</f>
        <v>2</v>
      </c>
      <c r="P9">
        <f>COUNTBLANK(presentismo[15/9/22])</f>
        <v>4</v>
      </c>
      <c r="Q9">
        <f>COUNTBLANK(presentismo[16/9/22])</f>
        <v>2</v>
      </c>
      <c r="R9">
        <f>COUNTBLANK(presentismo[17/9/22])</f>
        <v>3</v>
      </c>
      <c r="S9">
        <f>COUNTBLANK(presentismo[18/9/22])</f>
        <v>1</v>
      </c>
      <c r="T9">
        <f>COUNTBLANK(presentismo[19/9/22])</f>
        <v>1</v>
      </c>
      <c r="U9">
        <f>COUNTBLANK(presentismo[20/9/22])</f>
        <v>1</v>
      </c>
      <c r="V9">
        <f>COUNTBLANK(presentismo[21/9/22])</f>
        <v>3</v>
      </c>
      <c r="W9">
        <f>COUNTBLANK(presentismo[22/9/22])</f>
        <v>2</v>
      </c>
      <c r="X9">
        <f>COUNTBLANK(presentismo[23/9/22])</f>
        <v>1</v>
      </c>
      <c r="Y9">
        <f>COUNTBLANK(presentismo[24/9/22])</f>
        <v>1</v>
      </c>
      <c r="Z9">
        <f>COUNTBLANK(presentismo[25/9/22])</f>
        <v>3</v>
      </c>
      <c r="AA9">
        <f>COUNTBLANK(presentismo[26/9/22])</f>
        <v>1</v>
      </c>
      <c r="AB9">
        <f>COUNTBLANK(presentismo[27/9/22])</f>
        <v>1</v>
      </c>
      <c r="AC9">
        <f>COUNTBLANK(presentismo[28/9/22])</f>
        <v>3</v>
      </c>
      <c r="AD9">
        <f>COUNTBLANK(presentismo[29/9/22])</f>
        <v>1</v>
      </c>
      <c r="AE9">
        <f>COUNTBLANK(presentismo[30/9/22])</f>
        <v>2</v>
      </c>
      <c r="AF9">
        <f>SUBTOTAL(109,presentismo[asist])</f>
        <v>153</v>
      </c>
      <c r="AG9">
        <f>SUBTOTAL(109,presentismo[aus])</f>
        <v>58</v>
      </c>
    </row>
    <row r="10" spans="1:37" x14ac:dyDescent="0.25">
      <c r="AF10" s="4"/>
      <c r="AG10" s="4"/>
    </row>
    <row r="11" spans="1:37" x14ac:dyDescent="0.25">
      <c r="AF11" s="4"/>
      <c r="AG11" s="4"/>
    </row>
    <row r="12" spans="1:37" x14ac:dyDescent="0.25">
      <c r="AF12" s="4"/>
      <c r="AG12" s="4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3380-975D-48C5-88E7-EB8DA010B416}">
  <dimension ref="A1:I14"/>
  <sheetViews>
    <sheetView tabSelected="1" zoomScale="130" zoomScaleNormal="130" workbookViewId="0">
      <selection activeCell="A2" sqref="A2"/>
    </sheetView>
  </sheetViews>
  <sheetFormatPr baseColWidth="10" defaultRowHeight="15" x14ac:dyDescent="0.25"/>
  <cols>
    <col min="1" max="2" width="4.7109375" bestFit="1" customWidth="1"/>
    <col min="6" max="8" width="15.42578125" bestFit="1" customWidth="1"/>
  </cols>
  <sheetData>
    <row r="1" spans="1:9" x14ac:dyDescent="0.25">
      <c r="A1" t="s">
        <v>52</v>
      </c>
      <c r="D1" t="s">
        <v>49</v>
      </c>
      <c r="E1" t="s">
        <v>46</v>
      </c>
      <c r="F1" t="s">
        <v>50</v>
      </c>
      <c r="G1" t="s">
        <v>47</v>
      </c>
      <c r="H1" t="s">
        <v>53</v>
      </c>
      <c r="I1" t="s">
        <v>51</v>
      </c>
    </row>
    <row r="2" spans="1:9" x14ac:dyDescent="0.25">
      <c r="A2" s="7">
        <v>0.21</v>
      </c>
      <c r="D2">
        <v>10</v>
      </c>
      <c r="E2">
        <v>2</v>
      </c>
      <c r="F2" s="6">
        <v>5600</v>
      </c>
      <c r="G2" s="8">
        <f>Tabla3[[#This Row],[cantidad]]*Tabla3[[#This Row],[precio]]</f>
        <v>11200</v>
      </c>
      <c r="H2" s="8">
        <f>Tabla3[[#This Row],[total]]*IVA</f>
        <v>2352</v>
      </c>
    </row>
    <row r="3" spans="1:9" x14ac:dyDescent="0.25">
      <c r="D3">
        <v>30</v>
      </c>
      <c r="E3">
        <v>3</v>
      </c>
      <c r="F3" s="6">
        <v>25399.99</v>
      </c>
      <c r="G3" s="8">
        <f>Tabla3[[#This Row],[cantidad]]*Tabla3[[#This Row],[precio]]</f>
        <v>76199.97</v>
      </c>
      <c r="H3" s="8">
        <f>Tabla3[[#This Row],[total]]*IVA</f>
        <v>16001.993699999999</v>
      </c>
    </row>
    <row r="4" spans="1:9" x14ac:dyDescent="0.25">
      <c r="D4">
        <v>20</v>
      </c>
      <c r="E4">
        <v>5</v>
      </c>
      <c r="F4" s="6">
        <v>65480</v>
      </c>
      <c r="G4" s="8">
        <f>Tabla3[[#This Row],[cantidad]]*Tabla3[[#This Row],[precio]]</f>
        <v>327400</v>
      </c>
      <c r="H4" s="8">
        <f>Tabla3[[#This Row],[total]]*IVA</f>
        <v>68754</v>
      </c>
    </row>
    <row r="5" spans="1:9" x14ac:dyDescent="0.25">
      <c r="D5">
        <v>10</v>
      </c>
      <c r="E5">
        <v>7</v>
      </c>
      <c r="F5" s="6">
        <v>5600</v>
      </c>
      <c r="G5" s="8">
        <f>Tabla3[[#This Row],[cantidad]]*Tabla3[[#This Row],[precio]]</f>
        <v>39200</v>
      </c>
      <c r="H5" s="8">
        <f>Tabla3[[#This Row],[total]]*IVA</f>
        <v>8232</v>
      </c>
    </row>
    <row r="6" spans="1:9" x14ac:dyDescent="0.25">
      <c r="D6">
        <v>10</v>
      </c>
      <c r="E6">
        <v>34</v>
      </c>
      <c r="F6" s="6">
        <v>5600</v>
      </c>
      <c r="G6" s="8">
        <f>Tabla3[[#This Row],[cantidad]]*Tabla3[[#This Row],[precio]]</f>
        <v>190400</v>
      </c>
      <c r="H6" s="8">
        <f>Tabla3[[#This Row],[total]]*IVA</f>
        <v>39984</v>
      </c>
    </row>
    <row r="7" spans="1:9" x14ac:dyDescent="0.25">
      <c r="D7">
        <v>20</v>
      </c>
      <c r="E7">
        <v>12</v>
      </c>
      <c r="F7" s="6">
        <v>65480</v>
      </c>
      <c r="G7" s="8">
        <f>Tabla3[[#This Row],[cantidad]]*Tabla3[[#This Row],[precio]]</f>
        <v>785760</v>
      </c>
      <c r="H7" s="8">
        <f>Tabla3[[#This Row],[total]]*IVA</f>
        <v>165009.60000000001</v>
      </c>
    </row>
    <row r="8" spans="1:9" x14ac:dyDescent="0.25">
      <c r="D8">
        <v>26</v>
      </c>
      <c r="E8">
        <v>4</v>
      </c>
      <c r="F8" s="6">
        <v>4096</v>
      </c>
      <c r="G8" s="8">
        <f>Tabla3[[#This Row],[cantidad]]*Tabla3[[#This Row],[precio]]</f>
        <v>16384</v>
      </c>
      <c r="H8" s="8">
        <f>Tabla3[[#This Row],[total]]*IVA</f>
        <v>3440.64</v>
      </c>
    </row>
    <row r="9" spans="1:9" x14ac:dyDescent="0.25">
      <c r="D9">
        <v>40</v>
      </c>
      <c r="E9">
        <v>8</v>
      </c>
      <c r="F9" s="6">
        <v>32768</v>
      </c>
      <c r="G9" s="8">
        <f>Tabla3[[#This Row],[cantidad]]*Tabla3[[#This Row],[precio]]</f>
        <v>262144</v>
      </c>
      <c r="H9" s="8">
        <f>Tabla3[[#This Row],[total]]*IVA</f>
        <v>55050.239999999998</v>
      </c>
    </row>
    <row r="10" spans="1:9" x14ac:dyDescent="0.25">
      <c r="D10">
        <v>12</v>
      </c>
      <c r="E10">
        <v>2</v>
      </c>
      <c r="F10" s="6">
        <v>1048576</v>
      </c>
      <c r="G10" s="8">
        <f>Tabla3[[#This Row],[cantidad]]*Tabla3[[#This Row],[precio]]</f>
        <v>2097152</v>
      </c>
      <c r="H10" s="8">
        <f>Tabla3[[#This Row],[total]]*IVA</f>
        <v>440401.91999999998</v>
      </c>
    </row>
    <row r="11" spans="1:9" x14ac:dyDescent="0.25">
      <c r="D11">
        <v>15</v>
      </c>
      <c r="E11">
        <v>5</v>
      </c>
      <c r="F11" s="6">
        <v>16384</v>
      </c>
      <c r="G11" s="8">
        <f>Tabla3[[#This Row],[cantidad]]*Tabla3[[#This Row],[precio]]</f>
        <v>81920</v>
      </c>
      <c r="H11" s="8">
        <f>Tabla3[[#This Row],[total]]*IVA</f>
        <v>17203.2</v>
      </c>
    </row>
    <row r="12" spans="1:9" x14ac:dyDescent="0.25">
      <c r="D12">
        <v>25</v>
      </c>
      <c r="E12">
        <v>1</v>
      </c>
      <c r="F12" s="6">
        <v>8192</v>
      </c>
      <c r="G12" s="8">
        <f>Tabla3[[#This Row],[cantidad]]*Tabla3[[#This Row],[precio]]</f>
        <v>8192</v>
      </c>
      <c r="H12" s="8">
        <f>Tabla3[[#This Row],[total]]*IVA</f>
        <v>1720.32</v>
      </c>
    </row>
    <row r="13" spans="1:9" x14ac:dyDescent="0.25">
      <c r="D13">
        <v>30</v>
      </c>
      <c r="E13">
        <v>3</v>
      </c>
      <c r="F13" s="6">
        <v>25399.99</v>
      </c>
      <c r="G13" s="8">
        <f>Tabla3[[#This Row],[cantidad]]*Tabla3[[#This Row],[precio]]</f>
        <v>76199.97</v>
      </c>
      <c r="H13" s="8">
        <f>Tabla3[[#This Row],[total]]*IVA</f>
        <v>16001.993699999999</v>
      </c>
    </row>
    <row r="14" spans="1:9" x14ac:dyDescent="0.25">
      <c r="D14">
        <v>33</v>
      </c>
      <c r="E14">
        <v>8</v>
      </c>
      <c r="F14" s="6">
        <v>65536</v>
      </c>
      <c r="G14" s="8">
        <f>Tabla3[[#This Row],[cantidad]]*Tabla3[[#This Row],[precio]]</f>
        <v>524288</v>
      </c>
      <c r="H14" s="8">
        <f>Tabla3[[#This Row],[total]]*IVA</f>
        <v>110100.48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presentismo</vt:lpstr>
      <vt:lpstr>ventas</vt:lpstr>
      <vt:lpstr>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2022-10-19T19:31:35Z</dcterms:created>
  <dcterms:modified xsi:type="dcterms:W3CDTF">2022-10-19T21:08:13Z</dcterms:modified>
</cp:coreProperties>
</file>