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x13\"/>
    </mc:Choice>
  </mc:AlternateContent>
  <xr:revisionPtr revIDLastSave="0" documentId="13_ncr:1_{C0ADC320-4EE4-40FA-B150-3168AC1CC8FE}" xr6:coauthVersionLast="47" xr6:coauthVersionMax="47" xr10:uidLastSave="{00000000-0000-0000-0000-000000000000}"/>
  <bookViews>
    <workbookView xWindow="-120" yWindow="-120" windowWidth="20730" windowHeight="11040" tabRatio="634" firstSheet="1" activeTab="4" xr2:uid="{1DA75BA2-53DD-4B3C-AE8C-377B388164D9}"/>
  </bookViews>
  <sheets>
    <sheet name="menu" sheetId="1" r:id="rId1"/>
    <sheet name="empleados" sheetId="2" r:id="rId2"/>
    <sheet name="asistencia" sheetId="4" r:id="rId3"/>
    <sheet name="Hoja1" sheetId="7" r:id="rId4"/>
    <sheet name="productos" sheetId="3" r:id="rId5"/>
    <sheet name="ventas" sheetId="5" r:id="rId6"/>
    <sheet name="estadisticas" sheetId="6" r:id="rId7"/>
  </sheets>
  <definedNames>
    <definedName name="ahora">empleados!$N$2</definedName>
    <definedName name="SegmentaciónDeDatos_Categoria">#N/A</definedName>
    <definedName name="SegmentaciónDeDatos_Marca">#N/A</definedName>
    <definedName name="ventas_iva">ventas!$A$3</definedName>
  </definedNames>
  <calcPr calcId="191029"/>
  <pivotCaches>
    <pivotCache cacheId="6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I2" i="2"/>
  <c r="I3" i="2"/>
  <c r="I4" i="2"/>
  <c r="I5" i="2"/>
  <c r="I6" i="2"/>
  <c r="I7" i="2"/>
  <c r="I8" i="2"/>
  <c r="N2" i="2"/>
  <c r="O2" i="2" s="1"/>
  <c r="M2" i="2"/>
  <c r="L10" i="5"/>
  <c r="L9" i="5"/>
  <c r="L2" i="5"/>
  <c r="G19" i="5"/>
  <c r="H19" i="5" s="1"/>
  <c r="G20" i="5"/>
  <c r="H20" i="5" s="1"/>
  <c r="G21" i="5"/>
  <c r="H21" i="5" s="1"/>
  <c r="I21" i="5" s="1"/>
  <c r="G18" i="5"/>
  <c r="H18" i="5" s="1"/>
  <c r="I18" i="5" s="1"/>
  <c r="G17" i="5"/>
  <c r="H17" i="5" s="1"/>
  <c r="G5" i="5"/>
  <c r="H5" i="5" s="1"/>
  <c r="G4" i="5"/>
  <c r="H4" i="5" s="1"/>
  <c r="G3" i="5"/>
  <c r="H3" i="5" s="1"/>
  <c r="G2" i="5"/>
  <c r="H2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AI3" i="4"/>
  <c r="AI4" i="4"/>
  <c r="AI5" i="4"/>
  <c r="AI6" i="4"/>
  <c r="AI7" i="4"/>
  <c r="AI8" i="4"/>
  <c r="AI2" i="4"/>
  <c r="AH2" i="4"/>
  <c r="AH3" i="4"/>
  <c r="AH4" i="4"/>
  <c r="AH5" i="4"/>
  <c r="AH6" i="4"/>
  <c r="AH7" i="4"/>
  <c r="AH8" i="4"/>
  <c r="B3" i="4"/>
  <c r="B4" i="4"/>
  <c r="B5" i="4"/>
  <c r="B6" i="4"/>
  <c r="B7" i="4"/>
  <c r="B8" i="4"/>
  <c r="B2" i="4"/>
  <c r="A3" i="2" l="1"/>
  <c r="J7" i="2"/>
  <c r="J6" i="2"/>
  <c r="J2" i="2"/>
  <c r="J5" i="2"/>
  <c r="J3" i="2"/>
  <c r="J8" i="2"/>
  <c r="J4" i="2"/>
  <c r="L6" i="5"/>
  <c r="AL4" i="4"/>
  <c r="AM2" i="4"/>
  <c r="L7" i="5"/>
  <c r="AM5" i="4"/>
  <c r="L8" i="5"/>
  <c r="F2" i="2"/>
  <c r="F5" i="2"/>
  <c r="F8" i="2"/>
  <c r="F4" i="2"/>
  <c r="F7" i="2"/>
  <c r="F3" i="2"/>
  <c r="F6" i="2"/>
  <c r="T2" i="2"/>
  <c r="S2" i="2"/>
  <c r="R2" i="2"/>
  <c r="Q2" i="2"/>
  <c r="P2" i="2"/>
  <c r="L3" i="5"/>
  <c r="L4" i="5"/>
  <c r="L5" i="5"/>
  <c r="I19" i="5"/>
  <c r="I20" i="5"/>
  <c r="I10" i="5"/>
  <c r="I6" i="5"/>
  <c r="I5" i="5"/>
  <c r="I14" i="5"/>
  <c r="I2" i="5"/>
  <c r="I17" i="5"/>
  <c r="I13" i="5"/>
  <c r="I16" i="5"/>
  <c r="I12" i="5"/>
  <c r="I8" i="5"/>
  <c r="I4" i="5"/>
  <c r="I9" i="5"/>
  <c r="I15" i="5"/>
  <c r="I11" i="5"/>
  <c r="I7" i="5"/>
  <c r="I3" i="5"/>
  <c r="AL7" i="4"/>
  <c r="AM4" i="4"/>
  <c r="AM7" i="4"/>
  <c r="AL3" i="4"/>
  <c r="AL5" i="4"/>
  <c r="AL6" i="4"/>
  <c r="AM3" i="4"/>
  <c r="AL2" i="4"/>
  <c r="AM6" i="4"/>
  <c r="A5" i="2" l="1"/>
</calcChain>
</file>

<file path=xl/sharedStrings.xml><?xml version="1.0" encoding="utf-8"?>
<sst xmlns="http://schemas.openxmlformats.org/spreadsheetml/2006/main" count="278" uniqueCount="135">
  <si>
    <t>Internos</t>
  </si>
  <si>
    <t>Externos</t>
  </si>
  <si>
    <t>volver</t>
  </si>
  <si>
    <t>GitHub</t>
  </si>
  <si>
    <t>Alumi</t>
  </si>
  <si>
    <t>Atajos</t>
  </si>
  <si>
    <t>Correo</t>
  </si>
  <si>
    <t>Nuevo</t>
  </si>
  <si>
    <t>Empleados</t>
  </si>
  <si>
    <t>Asistencia</t>
  </si>
  <si>
    <t>Productos</t>
  </si>
  <si>
    <t>Ventas</t>
  </si>
  <si>
    <t>Estadisticas</t>
  </si>
  <si>
    <t>Empleado</t>
  </si>
  <si>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</si>
  <si>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</si>
  <si>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</si>
  <si>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</si>
  <si>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</si>
  <si>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</si>
  <si>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</si>
  <si>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</si>
  <si>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</si>
  <si>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20-35336446-4</t>
  </si>
  <si>
    <t>11-0303-4567</t>
  </si>
  <si>
    <t>Abel</t>
  </si>
  <si>
    <t>20-38883536-2</t>
  </si>
  <si>
    <t>11-0301-8293</t>
  </si>
  <si>
    <t>Marquez</t>
  </si>
  <si>
    <t>Rosaura</t>
  </si>
  <si>
    <t>27-30827345-1</t>
  </si>
  <si>
    <t>11-8327-4922</t>
  </si>
  <si>
    <t>Alvarez</t>
  </si>
  <si>
    <t>Tomas</t>
  </si>
  <si>
    <t>20-32192380-6</t>
  </si>
  <si>
    <t>11-9238-0401</t>
  </si>
  <si>
    <t>Gonzalez</t>
  </si>
  <si>
    <t>Gonzalo</t>
  </si>
  <si>
    <t>20-43128319-5</t>
  </si>
  <si>
    <t>11-3849-7232</t>
  </si>
  <si>
    <t>Cabello</t>
  </si>
  <si>
    <t>Camila</t>
  </si>
  <si>
    <t>27-45239482-2</t>
  </si>
  <si>
    <t>11-2384-2039</t>
  </si>
  <si>
    <t>Rosa</t>
  </si>
  <si>
    <t>Blanca</t>
  </si>
  <si>
    <t>27-40102392-5</t>
  </si>
  <si>
    <t>p</t>
  </si>
  <si>
    <t>Aus</t>
  </si>
  <si>
    <t>Asist</t>
  </si>
  <si>
    <t>A</t>
  </si>
  <si>
    <t>P</t>
  </si>
  <si>
    <t>suma</t>
  </si>
  <si>
    <t>min</t>
  </si>
  <si>
    <t>max</t>
  </si>
  <si>
    <t>promedio</t>
  </si>
  <si>
    <t>mediana</t>
  </si>
  <si>
    <t>moda</t>
  </si>
  <si>
    <t>Estadistica</t>
  </si>
  <si>
    <t>factura</t>
  </si>
  <si>
    <t>cant</t>
  </si>
  <si>
    <t>precio</t>
  </si>
  <si>
    <t>total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</si>
  <si>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</si>
  <si>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</si>
  <si>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</si>
  <si>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</si>
  <si>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</si>
  <si>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</si>
  <si>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</si>
  <si>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</si>
  <si>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</si>
  <si>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</si>
  <si>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</si>
  <si>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</si>
  <si>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</si>
  <si>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</si>
  <si>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</si>
  <si>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prod</t>
  </si>
  <si>
    <t>iva</t>
  </si>
  <si>
    <t>total + iva</t>
  </si>
  <si>
    <t>A-0016</t>
  </si>
  <si>
    <t>emp</t>
  </si>
  <si>
    <t>A-0017</t>
  </si>
  <si>
    <t>A-0020</t>
  </si>
  <si>
    <t>A-0018</t>
  </si>
  <si>
    <t>A-0019</t>
  </si>
  <si>
    <t>cant ventas</t>
  </si>
  <si>
    <t>producto mas vendido</t>
  </si>
  <si>
    <t>HOY</t>
  </si>
  <si>
    <t>AHORA</t>
  </si>
  <si>
    <t>AÑO</t>
  </si>
  <si>
    <t>MES</t>
  </si>
  <si>
    <t>DIA</t>
  </si>
  <si>
    <t>seg</t>
  </si>
  <si>
    <t>hora</t>
  </si>
  <si>
    <t>Stock</t>
  </si>
  <si>
    <t>Descripcion</t>
  </si>
  <si>
    <t>Categoria</t>
  </si>
  <si>
    <t>Marca</t>
  </si>
  <si>
    <t>Alimentos</t>
  </si>
  <si>
    <t>Indumentaria</t>
  </si>
  <si>
    <t>1Kg Vacio</t>
  </si>
  <si>
    <t>1kg Helado + Cucuruchos x4</t>
  </si>
  <si>
    <t>Remera M Manga corta</t>
  </si>
  <si>
    <t>Auriculares Manos libres</t>
  </si>
  <si>
    <t>Bufanda</t>
  </si>
  <si>
    <t>Sei Tu</t>
  </si>
  <si>
    <t>Samsung</t>
  </si>
  <si>
    <t>Aire Acondicionado 3000Fg</t>
  </si>
  <si>
    <t>Hogar</t>
  </si>
  <si>
    <t>Heladera No Frost 2 puertas</t>
  </si>
  <si>
    <t>Whirpool</t>
  </si>
  <si>
    <t>Bross</t>
  </si>
  <si>
    <t>Kevingston</t>
  </si>
  <si>
    <t>Secarropas</t>
  </si>
  <si>
    <t>Electro</t>
  </si>
  <si>
    <t>Tecnologia</t>
  </si>
  <si>
    <t>Notebook Elitebook 8470p</t>
  </si>
  <si>
    <t>HP</t>
  </si>
  <si>
    <t>Lavarropas 8kg carga Frontal</t>
  </si>
  <si>
    <t>Estadisticas de Ventas</t>
  </si>
  <si>
    <t>Total</t>
  </si>
  <si>
    <t>Promedio</t>
  </si>
  <si>
    <t>Mediana</t>
  </si>
  <si>
    <t>Minimo</t>
  </si>
  <si>
    <t>Maximo</t>
  </si>
  <si>
    <t>empleado con mas ventas</t>
  </si>
  <si>
    <t>Moda</t>
  </si>
  <si>
    <t>Recaudacion</t>
  </si>
  <si>
    <t>vendido</t>
  </si>
  <si>
    <t>Etiquetas de fila</t>
  </si>
  <si>
    <t>Total general</t>
  </si>
  <si>
    <t>Etiquetas de columna</t>
  </si>
  <si>
    <t>Suma de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</si>
</sst>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 applyFont="1" applyFill="1" applyAlignment="1">
      <alignment horizontal="right"/>
    </xf>
    <xf numFmtId="0" fontId="3" fillId="0" borderId="2" xfId="0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textRotation="90"/>
    </xf>
    <xf numFmtId="164" fontId="1" fillId="3" borderId="0" xfId="0" applyNumberFormat="1" applyFont="1" applyFill="1" applyAlignment="1">
      <alignment textRotation="90"/>
    </xf>
    <xf numFmtId="0" fontId="1" fillId="3" borderId="0" xfId="0" applyFont="1" applyFill="1"/>
    <xf numFmtId="0" fontId="1" fillId="4" borderId="0" xfId="0" applyFont="1" applyFill="1" applyAlignment="1">
      <alignment horizontal="left" vertical="center" indent="6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4" fontId="0" fillId="0" borderId="0" xfId="3" applyFont="1"/>
    <xf numFmtId="44" fontId="0" fillId="0" borderId="0" xfId="0" applyNumberFormat="1"/>
    <xf numFmtId="0" fontId="0" fillId="6" borderId="4" xfId="0" applyFont="1" applyFill="1" applyBorder="1"/>
    <xf numFmtId="9" fontId="0" fillId="0" borderId="0" xfId="0" applyNumberFormat="1" applyAlignment="1">
      <alignment horizontal="center"/>
    </xf>
    <xf numFmtId="0" fontId="0" fillId="6" borderId="5" xfId="0" applyFont="1" applyFill="1" applyBorder="1"/>
    <xf numFmtId="43" fontId="0" fillId="0" borderId="0" xfId="2" applyNumberFormat="1" applyFont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164" fontId="0" fillId="6" borderId="3" xfId="0" applyNumberFormat="1" applyFont="1" applyFill="1" applyBorder="1"/>
    <xf numFmtId="20" fontId="0" fillId="6" borderId="4" xfId="0" applyNumberFormat="1" applyFont="1" applyFill="1" applyBorder="1"/>
    <xf numFmtId="0" fontId="4" fillId="0" borderId="0" xfId="0" applyFont="1" applyAlignment="1">
      <alignment horizontal="center" vertical="center" textRotation="90"/>
    </xf>
    <xf numFmtId="0" fontId="6" fillId="5" borderId="9" xfId="0" applyFont="1" applyFill="1" applyBorder="1"/>
    <xf numFmtId="44" fontId="6" fillId="5" borderId="9" xfId="3" applyNumberFormat="1" applyFont="1" applyFill="1" applyBorder="1"/>
    <xf numFmtId="0" fontId="0" fillId="0" borderId="4" xfId="0" applyFont="1" applyFill="1" applyBorder="1"/>
    <xf numFmtId="44" fontId="0" fillId="0" borderId="4" xfId="3" applyNumberFormat="1" applyFont="1" applyFill="1" applyBorder="1"/>
    <xf numFmtId="0" fontId="0" fillId="0" borderId="7" xfId="0" applyFont="1" applyFill="1" applyBorder="1"/>
    <xf numFmtId="44" fontId="0" fillId="0" borderId="7" xfId="3" applyNumberFormat="1" applyFont="1" applyFill="1" applyBorder="1"/>
    <xf numFmtId="0" fontId="0" fillId="0" borderId="0" xfId="0" applyNumberFormat="1"/>
    <xf numFmtId="0" fontId="0" fillId="0" borderId="0" xfId="0" pivotButton="1"/>
  </cellXfs>
  <cellStyles count="4">
    <cellStyle name="Hipervínculo" xfId="1" builtinId="8"/>
    <cellStyle name="Millares" xfId="2" builtinId="3"/>
    <cellStyle name="Moneda" xfId="3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5" formatCode="_-* #,##0.00_-;\-* #,##0.00_-;_-* &quot;-&quot;??_-;_-@_-"/>
    </dxf>
    <dxf>
      <numFmt numFmtId="19" formatCode="d/m/yyyy"/>
    </dxf>
    <dxf>
      <numFmt numFmtId="1" formatCode="0"/>
    </dxf>
  </dxfs>
  <tableStyles count="0" defaultTableStyle="TableStyleMedium2" defaultPivotStyle="PivotStyleLight16"/>
  <colors>
    <mruColors>
      <color rgb="FFA50021"/>
      <color rgb="FFEB1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ventas!$K$1</c:f>
              <c:strCache>
                <c:ptCount val="1"/>
                <c:pt idx="0">
                  <c:v>Estadisticas de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4.7750230949443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D2-44EE-B323-97D2EE9E9F3F}"/>
                </c:ext>
              </c:extLst>
            </c:dLbl>
            <c:dLbl>
              <c:idx val="1"/>
              <c:layout>
                <c:manualLayout>
                  <c:x val="0"/>
                  <c:y val="-4.775023094944378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D2-44EE-B323-97D2EE9E9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ventas!$K$4:$K$8</c:f>
              <c:strCache>
                <c:ptCount val="5"/>
                <c:pt idx="0">
                  <c:v>Promedio</c:v>
                </c:pt>
                <c:pt idx="1">
                  <c:v>Mediana</c:v>
                </c:pt>
                <c:pt idx="2">
                  <c:v>Moda</c:v>
                </c:pt>
                <c:pt idx="3">
                  <c:v>Minimo</c:v>
                </c:pt>
                <c:pt idx="4">
                  <c:v>Maximo</c:v>
                </c:pt>
              </c:strCache>
            </c:strRef>
          </c:cat>
          <c:val>
            <c:numRef>
              <c:f>ventas!$L$4:$L$8</c:f>
              <c:numCache>
                <c:formatCode>_("$"* #,##0.00_);_("$"* \(#,##0.00\);_("$"* "-"??_);_(@_)</c:formatCode>
                <c:ptCount val="5"/>
                <c:pt idx="0">
                  <c:v>38150</c:v>
                </c:pt>
                <c:pt idx="1">
                  <c:v>37500</c:v>
                </c:pt>
                <c:pt idx="2">
                  <c:v>20000</c:v>
                </c:pt>
                <c:pt idx="3">
                  <c:v>7500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2-44EE-B323-97D2EE9E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8859935"/>
        <c:axId val="552478351"/>
        <c:axId val="0"/>
      </c:bar3DChart>
      <c:catAx>
        <c:axId val="728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478351"/>
        <c:crosses val="autoZero"/>
        <c:auto val="1"/>
        <c:lblAlgn val="ctr"/>
        <c:lblOffset val="100"/>
        <c:noMultiLvlLbl val="0"/>
      </c:catAx>
      <c:valAx>
        <c:axId val="5524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885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Registro</a:t>
            </a:r>
            <a:r>
              <a:rPr lang="es-AR" baseline="0"/>
              <a:t> de Asistencia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asistencia!$AM$1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asistencia!$B$2:$B$8</c:f>
              <c:strCache>
                <c:ptCount val="7"/>
                <c:pt idx="0">
                  <c:v>Racedo, Cristian</c:v>
                </c:pt>
                <c:pt idx="1">
                  <c:v>Racedo, Abel</c:v>
                </c:pt>
                <c:pt idx="2">
                  <c:v>Marquez, Rosaura</c:v>
                </c:pt>
                <c:pt idx="3">
                  <c:v>Alvarez, Tomas</c:v>
                </c:pt>
                <c:pt idx="4">
                  <c:v>Gonzalez, Gonzalo</c:v>
                </c:pt>
                <c:pt idx="5">
                  <c:v>Cabello, Camila</c:v>
                </c:pt>
                <c:pt idx="6">
                  <c:v>Rosa, Blanca</c:v>
                </c:pt>
              </c:strCache>
            </c:strRef>
          </c:cat>
          <c:val>
            <c:numRef>
              <c:f>asistencia!$AH$2:$AH$8</c:f>
              <c:numCache>
                <c:formatCode>General</c:formatCode>
                <c:ptCount val="7"/>
                <c:pt idx="0">
                  <c:v>18</c:v>
                </c:pt>
                <c:pt idx="1">
                  <c:v>17</c:v>
                </c:pt>
                <c:pt idx="2">
                  <c:v>13</c:v>
                </c:pt>
                <c:pt idx="3">
                  <c:v>17</c:v>
                </c:pt>
                <c:pt idx="4">
                  <c:v>12</c:v>
                </c:pt>
                <c:pt idx="5">
                  <c:v>18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0-4B5F-8B13-45AD415584A9}"/>
            </c:ext>
          </c:extLst>
        </c:ser>
        <c:ser>
          <c:idx val="1"/>
          <c:order val="1"/>
          <c:tx>
            <c:strRef>
              <c:f>asistencia!$AL$1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asistencia!$B$2:$B$8</c:f>
              <c:strCache>
                <c:ptCount val="7"/>
                <c:pt idx="0">
                  <c:v>Racedo, Cristian</c:v>
                </c:pt>
                <c:pt idx="1">
                  <c:v>Racedo, Abel</c:v>
                </c:pt>
                <c:pt idx="2">
                  <c:v>Marquez, Rosaura</c:v>
                </c:pt>
                <c:pt idx="3">
                  <c:v>Alvarez, Tomas</c:v>
                </c:pt>
                <c:pt idx="4">
                  <c:v>Gonzalez, Gonzalo</c:v>
                </c:pt>
                <c:pt idx="5">
                  <c:v>Cabello, Camila</c:v>
                </c:pt>
                <c:pt idx="6">
                  <c:v>Rosa, Blanca</c:v>
                </c:pt>
              </c:strCache>
            </c:strRef>
          </c:cat>
          <c:val>
            <c:numRef>
              <c:f>asistencia!$AI$2:$AI$8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18</c:v>
                </c:pt>
                <c:pt idx="3">
                  <c:v>14</c:v>
                </c:pt>
                <c:pt idx="4">
                  <c:v>19</c:v>
                </c:pt>
                <c:pt idx="5">
                  <c:v>13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0-4B5F-8B13-45AD4155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728863263"/>
        <c:axId val="728869503"/>
        <c:axId val="0"/>
      </c:bar3DChart>
      <c:catAx>
        <c:axId val="72886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8869503"/>
        <c:crosses val="autoZero"/>
        <c:auto val="1"/>
        <c:lblAlgn val="ctr"/>
        <c:lblOffset val="100"/>
        <c:noMultiLvlLbl val="0"/>
      </c:catAx>
      <c:valAx>
        <c:axId val="72886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8863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0916666666666686E-2"/>
          <c:y val="4.0066770940759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79378827646544"/>
          <c:y val="0.17402334178603154"/>
          <c:w val="0.48134667541557297"/>
          <c:h val="0.77144027947887239"/>
        </c:manualLayout>
      </c:layout>
      <c:pie3DChart>
        <c:varyColors val="1"/>
        <c:ser>
          <c:idx val="0"/>
          <c:order val="0"/>
          <c:tx>
            <c:strRef>
              <c:f>empleados!$I$1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621-46FC-A591-F825EA88F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621-46FC-A591-F825EA88F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C621-46FC-A591-F825EA88F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621-46FC-A591-F825EA88F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621-46FC-A591-F825EA88F9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621-46FC-A591-F825EA88F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621-46FC-A591-F825EA88F9A8}"/>
              </c:ext>
            </c:extLst>
          </c:dPt>
          <c:dLbls>
            <c:dLbl>
              <c:idx val="0"/>
              <c:layout>
                <c:manualLayout>
                  <c:x val="8.3333333333333232E-2"/>
                  <c:y val="-6.2326088130070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21-46FC-A591-F825EA88F9A8}"/>
                </c:ext>
              </c:extLst>
            </c:dLbl>
            <c:dLbl>
              <c:idx val="1"/>
              <c:layout>
                <c:manualLayout>
                  <c:x val="5.5555555555555455E-2"/>
                  <c:y val="2.2259317189310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21-46FC-A591-F825EA88F9A8}"/>
                </c:ext>
              </c:extLst>
            </c:dLbl>
            <c:dLbl>
              <c:idx val="2"/>
              <c:layout>
                <c:manualLayout>
                  <c:x val="2.2222222222222223E-2"/>
                  <c:y val="7.12298150057944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21-46FC-A591-F825EA88F9A8}"/>
                </c:ext>
              </c:extLst>
            </c:dLbl>
            <c:dLbl>
              <c:idx val="3"/>
              <c:layout>
                <c:manualLayout>
                  <c:x val="-7.2222222222222215E-2"/>
                  <c:y val="1.33555903135865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21-46FC-A591-F825EA88F9A8}"/>
                </c:ext>
              </c:extLst>
            </c:dLbl>
            <c:dLbl>
              <c:idx val="4"/>
              <c:layout>
                <c:manualLayout>
                  <c:x val="-3.0555555555555555E-2"/>
                  <c:y val="-1.78074537514486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21-46FC-A591-F825EA88F9A8}"/>
                </c:ext>
              </c:extLst>
            </c:dLbl>
            <c:dLbl>
              <c:idx val="5"/>
              <c:layout>
                <c:manualLayout>
                  <c:x val="-7.4999999999999997E-2"/>
                  <c:y val="-8.01335418815187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21-46FC-A591-F825EA88F9A8}"/>
                </c:ext>
              </c:extLst>
            </c:dLbl>
            <c:dLbl>
              <c:idx val="6"/>
              <c:layout>
                <c:manualLayout>
                  <c:x val="5.8333333333333334E-2"/>
                  <c:y val="-9.79409956329673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21-46FC-A591-F825EA88F9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empleados!$C$2:$D$8</c:f>
              <c:multiLvlStrCache>
                <c:ptCount val="7"/>
                <c:lvl>
                  <c:pt idx="0">
                    <c:v>Cristian</c:v>
                  </c:pt>
                  <c:pt idx="1">
                    <c:v>Abel</c:v>
                  </c:pt>
                  <c:pt idx="2">
                    <c:v>Rosaura</c:v>
                  </c:pt>
                  <c:pt idx="3">
                    <c:v>Tomas</c:v>
                  </c:pt>
                  <c:pt idx="4">
                    <c:v>Gonzalo</c:v>
                  </c:pt>
                  <c:pt idx="5">
                    <c:v>Camila</c:v>
                  </c:pt>
                  <c:pt idx="6">
                    <c:v>Blanca</c:v>
                  </c:pt>
                </c:lvl>
                <c:lvl>
                  <c:pt idx="0">
                    <c:v>Racedo</c:v>
                  </c:pt>
                  <c:pt idx="1">
                    <c:v>Racedo</c:v>
                  </c:pt>
                  <c:pt idx="2">
                    <c:v>Marquez</c:v>
                  </c:pt>
                  <c:pt idx="3">
                    <c:v>Alvarez</c:v>
                  </c:pt>
                  <c:pt idx="4">
                    <c:v>Gonzalez</c:v>
                  </c:pt>
                  <c:pt idx="5">
                    <c:v>Cabello</c:v>
                  </c:pt>
                  <c:pt idx="6">
                    <c:v>Rosa</c:v>
                  </c:pt>
                </c:lvl>
              </c:multiLvlStrCache>
            </c:multiLvlStrRef>
          </c:cat>
          <c:val>
            <c:numRef>
              <c:f>empleados!$I$2:$I$8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1-46FC-A591-F825EA88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9960690914522E-2"/>
          <c:y val="0.12486064659977704"/>
          <c:w val="0.77528768972040196"/>
          <c:h val="0.5952211659161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empleados!$I$1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empleados!$C$2:$D$8</c:f>
              <c:multiLvlStrCache>
                <c:ptCount val="7"/>
                <c:lvl>
                  <c:pt idx="0">
                    <c:v>Cristian</c:v>
                  </c:pt>
                  <c:pt idx="1">
                    <c:v>Abel</c:v>
                  </c:pt>
                  <c:pt idx="2">
                    <c:v>Rosaura</c:v>
                  </c:pt>
                  <c:pt idx="3">
                    <c:v>Tomas</c:v>
                  </c:pt>
                  <c:pt idx="4">
                    <c:v>Gonzalo</c:v>
                  </c:pt>
                  <c:pt idx="5">
                    <c:v>Camila</c:v>
                  </c:pt>
                  <c:pt idx="6">
                    <c:v>Blanca</c:v>
                  </c:pt>
                </c:lvl>
                <c:lvl>
                  <c:pt idx="0">
                    <c:v>Racedo</c:v>
                  </c:pt>
                  <c:pt idx="1">
                    <c:v>Racedo</c:v>
                  </c:pt>
                  <c:pt idx="2">
                    <c:v>Marquez</c:v>
                  </c:pt>
                  <c:pt idx="3">
                    <c:v>Alvarez</c:v>
                  </c:pt>
                  <c:pt idx="4">
                    <c:v>Gonzalez</c:v>
                  </c:pt>
                  <c:pt idx="5">
                    <c:v>Cabello</c:v>
                  </c:pt>
                  <c:pt idx="6">
                    <c:v>Rosa</c:v>
                  </c:pt>
                </c:lvl>
              </c:multiLvlStrCache>
            </c:multiLvlStrRef>
          </c:cat>
          <c:val>
            <c:numRef>
              <c:f>empleados!$I$2:$I$8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87-4C6C-9604-DE3BD0CF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713455"/>
        <c:axId val="938717199"/>
      </c:barChart>
      <c:lineChart>
        <c:grouping val="standard"/>
        <c:varyColors val="0"/>
        <c:ser>
          <c:idx val="1"/>
          <c:order val="1"/>
          <c:tx>
            <c:strRef>
              <c:f>empleados!$J$1</c:f>
              <c:strCache>
                <c:ptCount val="1"/>
                <c:pt idx="0">
                  <c:v>Recaudacion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878318952218369E-2"/>
                  <c:y val="-4.9052396878483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87-4C6C-9604-DE3BD0CF6489}"/>
                </c:ext>
              </c:extLst>
            </c:dLbl>
            <c:dLbl>
              <c:idx val="1"/>
              <c:layout>
                <c:manualLayout>
                  <c:x val="-3.0547250605314435E-2"/>
                  <c:y val="-3.121516164994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387-4C6C-9604-DE3BD0CF6489}"/>
                </c:ext>
              </c:extLst>
            </c:dLbl>
            <c:dLbl>
              <c:idx val="2"/>
              <c:layout>
                <c:manualLayout>
                  <c:x val="-2.7770227823013124E-3"/>
                  <c:y val="-1.7837235228539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387-4C6C-9604-DE3BD0CF6489}"/>
                </c:ext>
              </c:extLst>
            </c:dLbl>
            <c:dLbl>
              <c:idx val="3"/>
              <c:layout>
                <c:manualLayout>
                  <c:x val="-6.1094501210628871E-2"/>
                  <c:y val="-5.3511705685618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387-4C6C-9604-DE3BD0CF6489}"/>
                </c:ext>
              </c:extLst>
            </c:dLbl>
            <c:dLbl>
              <c:idx val="4"/>
              <c:layout>
                <c:manualLayout>
                  <c:x val="-2.2216182258410499E-2"/>
                  <c:y val="-4.4593088071348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387-4C6C-9604-DE3BD0CF6489}"/>
                </c:ext>
              </c:extLst>
            </c:dLbl>
            <c:dLbl>
              <c:idx val="5"/>
              <c:layout>
                <c:manualLayout>
                  <c:x val="-3.6101296169917058E-2"/>
                  <c:y val="-8.4726867335563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387-4C6C-9604-DE3BD0CF6489}"/>
                </c:ext>
              </c:extLst>
            </c:dLbl>
            <c:dLbl>
              <c:idx val="6"/>
              <c:layout>
                <c:manualLayout>
                  <c:x val="-7.2202592339834115E-2"/>
                  <c:y val="-8.4726867335563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387-4C6C-9604-DE3BD0CF64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empleados!$C$2:$D$8</c:f>
              <c:multiLvlStrCache>
                <c:ptCount val="7"/>
                <c:lvl>
                  <c:pt idx="0">
                    <c:v>Cristian</c:v>
                  </c:pt>
                  <c:pt idx="1">
                    <c:v>Abel</c:v>
                  </c:pt>
                  <c:pt idx="2">
                    <c:v>Rosaura</c:v>
                  </c:pt>
                  <c:pt idx="3">
                    <c:v>Tomas</c:v>
                  </c:pt>
                  <c:pt idx="4">
                    <c:v>Gonzalo</c:v>
                  </c:pt>
                  <c:pt idx="5">
                    <c:v>Camila</c:v>
                  </c:pt>
                  <c:pt idx="6">
                    <c:v>Blanca</c:v>
                  </c:pt>
                </c:lvl>
                <c:lvl>
                  <c:pt idx="0">
                    <c:v>Racedo</c:v>
                  </c:pt>
                  <c:pt idx="1">
                    <c:v>Racedo</c:v>
                  </c:pt>
                  <c:pt idx="2">
                    <c:v>Marquez</c:v>
                  </c:pt>
                  <c:pt idx="3">
                    <c:v>Alvarez</c:v>
                  </c:pt>
                  <c:pt idx="4">
                    <c:v>Gonzalez</c:v>
                  </c:pt>
                  <c:pt idx="5">
                    <c:v>Cabello</c:v>
                  </c:pt>
                  <c:pt idx="6">
                    <c:v>Rosa</c:v>
                  </c:pt>
                </c:lvl>
              </c:multiLvlStrCache>
            </c:multiLvlStrRef>
          </c:cat>
          <c:val>
            <c:numRef>
              <c:f>empleados!$J$2:$J$8</c:f>
              <c:numCache>
                <c:formatCode>_("$"* #,##0.00_);_("$"* \(#,##0.00\);_("$"* "-"??_);_(@_)</c:formatCode>
                <c:ptCount val="7"/>
                <c:pt idx="0">
                  <c:v>237500</c:v>
                </c:pt>
                <c:pt idx="1">
                  <c:v>117500</c:v>
                </c:pt>
                <c:pt idx="2">
                  <c:v>75500</c:v>
                </c:pt>
                <c:pt idx="3">
                  <c:v>145000</c:v>
                </c:pt>
                <c:pt idx="4">
                  <c:v>110000</c:v>
                </c:pt>
                <c:pt idx="5">
                  <c:v>57500</c:v>
                </c:pt>
                <c:pt idx="6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87-4C6C-9604-DE3BD0CF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787311"/>
        <c:axId val="1126789391"/>
      </c:lineChart>
      <c:catAx>
        <c:axId val="9387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8717199"/>
        <c:crosses val="autoZero"/>
        <c:auto val="1"/>
        <c:lblAlgn val="ctr"/>
        <c:lblOffset val="100"/>
        <c:noMultiLvlLbl val="0"/>
      </c:catAx>
      <c:valAx>
        <c:axId val="9387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8713455"/>
        <c:crosses val="autoZero"/>
        <c:crossBetween val="between"/>
      </c:valAx>
      <c:valAx>
        <c:axId val="1126789391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6787311"/>
        <c:crosses val="max"/>
        <c:crossBetween val="between"/>
      </c:valAx>
      <c:catAx>
        <c:axId val="1126787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67893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docs/atajos-teclado.doc" TargetMode="External"/><Relationship Id="rId18" Type="http://schemas.openxmlformats.org/officeDocument/2006/relationships/hyperlink" Target="mailto:cristiandracedo@hotmail.com?subject=Consulta%20EXCEL" TargetMode="External"/><Relationship Id="rId26" Type="http://schemas.openxmlformats.org/officeDocument/2006/relationships/image" Target="../media/image18.svg"/><Relationship Id="rId3" Type="http://schemas.openxmlformats.org/officeDocument/2006/relationships/image" Target="../media/image2.svg"/><Relationship Id="rId21" Type="http://schemas.openxmlformats.org/officeDocument/2006/relationships/hyperlink" Target="file:///C:\Users\EducacionIT\Documents\office\Excel\xls-x13\contabilidad.xlsx" TargetMode="External"/><Relationship Id="rId7" Type="http://schemas.openxmlformats.org/officeDocument/2006/relationships/hyperlink" Target="#asistencia!A1"/><Relationship Id="rId12" Type="http://schemas.openxmlformats.org/officeDocument/2006/relationships/image" Target="../media/image8.svg"/><Relationship Id="rId17" Type="http://schemas.openxmlformats.org/officeDocument/2006/relationships/image" Target="../media/image12.svg"/><Relationship Id="rId25" Type="http://schemas.openxmlformats.org/officeDocument/2006/relationships/image" Target="../media/image17.png"/><Relationship Id="rId2" Type="http://schemas.openxmlformats.org/officeDocument/2006/relationships/image" Target="../media/image1.png"/><Relationship Id="rId16" Type="http://schemas.openxmlformats.org/officeDocument/2006/relationships/image" Target="../media/image11.png"/><Relationship Id="rId20" Type="http://schemas.openxmlformats.org/officeDocument/2006/relationships/image" Target="../media/image14.svg"/><Relationship Id="rId29" Type="http://schemas.openxmlformats.org/officeDocument/2006/relationships/image" Target="../media/image19.png"/><Relationship Id="rId1" Type="http://schemas.openxmlformats.org/officeDocument/2006/relationships/hyperlink" Target="#venta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24" Type="http://schemas.openxmlformats.org/officeDocument/2006/relationships/hyperlink" Target="#estadisticas!A1"/><Relationship Id="rId32" Type="http://schemas.openxmlformats.org/officeDocument/2006/relationships/hyperlink" Target="https://creativecommons.org/licenses/by-sa/3.0/" TargetMode="External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23" Type="http://schemas.openxmlformats.org/officeDocument/2006/relationships/image" Target="../media/image16.svg"/><Relationship Id="rId28" Type="http://schemas.openxmlformats.org/officeDocument/2006/relationships/hyperlink" Target="https://github.com/c215714n/EducacionIT/tree/excel-x13" TargetMode="External"/><Relationship Id="rId10" Type="http://schemas.openxmlformats.org/officeDocument/2006/relationships/hyperlink" Target="#empleados!A1"/><Relationship Id="rId19" Type="http://schemas.openxmlformats.org/officeDocument/2006/relationships/image" Target="../media/image13.png"/><Relationship Id="rId31" Type="http://schemas.openxmlformats.org/officeDocument/2006/relationships/hyperlink" Target="http://major.io/2014/08/08/use-gist-gem-github-enterprise-github-com" TargetMode="External"/><Relationship Id="rId4" Type="http://schemas.openxmlformats.org/officeDocument/2006/relationships/hyperlink" Target="#productos!A1"/><Relationship Id="rId9" Type="http://schemas.openxmlformats.org/officeDocument/2006/relationships/image" Target="../media/image6.svg"/><Relationship Id="rId14" Type="http://schemas.openxmlformats.org/officeDocument/2006/relationships/image" Target="../media/image9.png"/><Relationship Id="rId22" Type="http://schemas.openxmlformats.org/officeDocument/2006/relationships/image" Target="../media/image15.png"/><Relationship Id="rId27" Type="http://schemas.openxmlformats.org/officeDocument/2006/relationships/hyperlink" Target="https://alumni.education" TargetMode="External"/><Relationship Id="rId30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25440</xdr:colOff>
      <xdr:row>0</xdr:row>
      <xdr:rowOff>65942</xdr:rowOff>
    </xdr:from>
    <xdr:to>
      <xdr:col>4</xdr:col>
      <xdr:colOff>745440</xdr:colOff>
      <xdr:row>1</xdr:row>
      <xdr:rowOff>23942</xdr:rowOff>
    </xdr:to>
    <xdr:pic>
      <xdr:nvPicPr>
        <xdr:cNvPr id="5" name="Gráfico 4" descr="Dinero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8CCA6A-FDF0-44C2-87CD-7DA47D081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60555" y="6594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21577</xdr:colOff>
      <xdr:row>0</xdr:row>
      <xdr:rowOff>153463</xdr:rowOff>
    </xdr:from>
    <xdr:to>
      <xdr:col>3</xdr:col>
      <xdr:colOff>741577</xdr:colOff>
      <xdr:row>1</xdr:row>
      <xdr:rowOff>111463</xdr:rowOff>
    </xdr:to>
    <xdr:pic>
      <xdr:nvPicPr>
        <xdr:cNvPr id="7" name="Gráfico 6" descr="Cami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87AE73-7EFF-4C82-9DEC-4DC32B12F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94692" y="15346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32365</xdr:colOff>
      <xdr:row>0</xdr:row>
      <xdr:rowOff>29308</xdr:rowOff>
    </xdr:from>
    <xdr:to>
      <xdr:col>2</xdr:col>
      <xdr:colOff>752365</xdr:colOff>
      <xdr:row>0</xdr:row>
      <xdr:rowOff>749308</xdr:rowOff>
    </xdr:to>
    <xdr:pic>
      <xdr:nvPicPr>
        <xdr:cNvPr id="9" name="Gráfico 8" descr="Lista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599D39F-9003-4B99-A221-60DBA0125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043480" y="2930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28499</xdr:colOff>
      <xdr:row>0</xdr:row>
      <xdr:rowOff>29308</xdr:rowOff>
    </xdr:from>
    <xdr:to>
      <xdr:col>1</xdr:col>
      <xdr:colOff>748499</xdr:colOff>
      <xdr:row>0</xdr:row>
      <xdr:rowOff>749308</xdr:rowOff>
    </xdr:to>
    <xdr:pic>
      <xdr:nvPicPr>
        <xdr:cNvPr id="11" name="Gráfico 10" descr="Identificación de empleado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5BF92BC-2DCF-4B66-9041-64FFD3C4A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7614" y="2930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21981</xdr:colOff>
      <xdr:row>2</xdr:row>
      <xdr:rowOff>21981</xdr:rowOff>
    </xdr:from>
    <xdr:to>
      <xdr:col>3</xdr:col>
      <xdr:colOff>741981</xdr:colOff>
      <xdr:row>2</xdr:row>
      <xdr:rowOff>741981</xdr:rowOff>
    </xdr:to>
    <xdr:pic>
      <xdr:nvPicPr>
        <xdr:cNvPr id="13" name="Gráfico 12" descr="Lápiz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7848A6-BF4F-4FB6-B00D-D8422827A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795096" y="97448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208615</xdr:colOff>
      <xdr:row>0</xdr:row>
      <xdr:rowOff>736154</xdr:rowOff>
    </xdr:from>
    <xdr:to>
      <xdr:col>10</xdr:col>
      <xdr:colOff>166615</xdr:colOff>
      <xdr:row>2</xdr:row>
      <xdr:rowOff>503654</xdr:rowOff>
    </xdr:to>
    <xdr:pic>
      <xdr:nvPicPr>
        <xdr:cNvPr id="15" name="Gráfico 14" descr="Atrás con relleno sólido">
          <a:extLst>
            <a:ext uri="{FF2B5EF4-FFF2-40B4-BE49-F238E27FC236}">
              <a16:creationId xmlns:a16="http://schemas.microsoft.com/office/drawing/2014/main" id="{6C9472A2-F50E-471E-AF9B-C4539C50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553730" y="73615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21577</xdr:colOff>
      <xdr:row>2</xdr:row>
      <xdr:rowOff>14251</xdr:rowOff>
    </xdr:from>
    <xdr:to>
      <xdr:col>2</xdr:col>
      <xdr:colOff>741577</xdr:colOff>
      <xdr:row>2</xdr:row>
      <xdr:rowOff>734251</xdr:rowOff>
    </xdr:to>
    <xdr:pic>
      <xdr:nvPicPr>
        <xdr:cNvPr id="17" name="Gráfico 16" descr="Correo electrónico con relleno sólid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AC6C48F-1809-42C8-A920-92022D05D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032692" y="9667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32365</xdr:colOff>
      <xdr:row>2</xdr:row>
      <xdr:rowOff>39692</xdr:rowOff>
    </xdr:from>
    <xdr:to>
      <xdr:col>1</xdr:col>
      <xdr:colOff>752365</xdr:colOff>
      <xdr:row>2</xdr:row>
      <xdr:rowOff>759692</xdr:rowOff>
    </xdr:to>
    <xdr:pic>
      <xdr:nvPicPr>
        <xdr:cNvPr id="19" name="Gráfico 18" descr="Documento con relleno sólid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EEDF43B9-E5B8-4046-9C42-43BDF3747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281480" y="992192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13846</xdr:colOff>
      <xdr:row>0</xdr:row>
      <xdr:rowOff>35828</xdr:rowOff>
    </xdr:from>
    <xdr:to>
      <xdr:col>5</xdr:col>
      <xdr:colOff>733846</xdr:colOff>
      <xdr:row>0</xdr:row>
      <xdr:rowOff>755828</xdr:rowOff>
    </xdr:to>
    <xdr:pic>
      <xdr:nvPicPr>
        <xdr:cNvPr id="21" name="Gráfico 20" descr="Gráfico de barras con tendencia alcista con relleno sólido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7AEFD0C3-17CF-472E-BB3A-C690E667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310961" y="35828"/>
          <a:ext cx="720000" cy="720000"/>
        </a:xfrm>
        <a:prstGeom prst="rect">
          <a:avLst/>
        </a:prstGeom>
      </xdr:spPr>
    </xdr:pic>
    <xdr:clientData/>
  </xdr:twoCellAnchor>
  <xdr:twoCellAnchor>
    <xdr:from>
      <xdr:col>4</xdr:col>
      <xdr:colOff>105276</xdr:colOff>
      <xdr:row>2</xdr:row>
      <xdr:rowOff>110289</xdr:rowOff>
    </xdr:from>
    <xdr:to>
      <xdr:col>4</xdr:col>
      <xdr:colOff>634411</xdr:colOff>
      <xdr:row>2</xdr:row>
      <xdr:rowOff>632055</xdr:rowOff>
    </xdr:to>
    <xdr:grpSp>
      <xdr:nvGrpSpPr>
        <xdr:cNvPr id="28" name="Grupo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0273303-5948-425E-A8C6-DA213CE80DBA}"/>
            </a:ext>
          </a:extLst>
        </xdr:cNvPr>
        <xdr:cNvGrpSpPr/>
      </xdr:nvGrpSpPr>
      <xdr:grpSpPr>
        <a:xfrm>
          <a:off x="2641307" y="1062789"/>
          <a:ext cx="529135" cy="521766"/>
          <a:chOff x="2638926" y="1062789"/>
          <a:chExt cx="529135" cy="521766"/>
        </a:xfrm>
        <a:solidFill>
          <a:schemeClr val="accent1">
            <a:lumMod val="75000"/>
          </a:schemeClr>
        </a:solidFill>
      </xdr:grpSpPr>
      <xdr:sp macro="" textlink="">
        <xdr:nvSpPr>
          <xdr:cNvPr id="25" name="Paralelogramo 24">
            <a:extLst>
              <a:ext uri="{FF2B5EF4-FFF2-40B4-BE49-F238E27FC236}">
                <a16:creationId xmlns:a16="http://schemas.microsoft.com/office/drawing/2014/main" id="{343FCA04-9AA0-4614-855E-3C7703C3FDCA}"/>
              </a:ext>
            </a:extLst>
          </xdr:cNvPr>
          <xdr:cNvSpPr/>
        </xdr:nvSpPr>
        <xdr:spPr>
          <a:xfrm>
            <a:off x="2638926" y="1062789"/>
            <a:ext cx="335881" cy="521369"/>
          </a:xfrm>
          <a:prstGeom prst="parallelogram">
            <a:avLst>
              <a:gd name="adj" fmla="val 5577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  <xdr:sp macro="" textlink="">
        <xdr:nvSpPr>
          <xdr:cNvPr id="26" name="Paralelogramo 25">
            <a:extLst>
              <a:ext uri="{FF2B5EF4-FFF2-40B4-BE49-F238E27FC236}">
                <a16:creationId xmlns:a16="http://schemas.microsoft.com/office/drawing/2014/main" id="{01C63773-7FF2-4422-B0B3-3BBCF8FFD3B5}"/>
              </a:ext>
            </a:extLst>
          </xdr:cNvPr>
          <xdr:cNvSpPr/>
        </xdr:nvSpPr>
        <xdr:spPr>
          <a:xfrm flipH="1">
            <a:off x="2840201" y="1064552"/>
            <a:ext cx="327860" cy="520003"/>
          </a:xfrm>
          <a:prstGeom prst="parallelogram">
            <a:avLst>
              <a:gd name="adj" fmla="val 55770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  <xdr:sp macro="" textlink="">
        <xdr:nvSpPr>
          <xdr:cNvPr id="27" name="Paralelogramo 26">
            <a:extLst>
              <a:ext uri="{FF2B5EF4-FFF2-40B4-BE49-F238E27FC236}">
                <a16:creationId xmlns:a16="http://schemas.microsoft.com/office/drawing/2014/main" id="{66C3DCEA-9E60-4319-B6EC-CC14739ED814}"/>
              </a:ext>
            </a:extLst>
          </xdr:cNvPr>
          <xdr:cNvSpPr/>
        </xdr:nvSpPr>
        <xdr:spPr>
          <a:xfrm>
            <a:off x="2830830" y="1462882"/>
            <a:ext cx="259280" cy="120316"/>
          </a:xfrm>
          <a:prstGeom prst="parallelogram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5</xdr:col>
      <xdr:colOff>11906</xdr:colOff>
      <xdr:row>2</xdr:row>
      <xdr:rowOff>29763</xdr:rowOff>
    </xdr:from>
    <xdr:to>
      <xdr:col>5</xdr:col>
      <xdr:colOff>744141</xdr:colOff>
      <xdr:row>2</xdr:row>
      <xdr:rowOff>749763</xdr:rowOff>
    </xdr:to>
    <xdr:pic>
      <xdr:nvPicPr>
        <xdr:cNvPr id="32" name="Imagen 31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16EE27C-8F01-487F-BEFF-DEB02B63B6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duotone>
            <a:schemeClr val="accent1">
              <a:shade val="45000"/>
              <a:satMod val="135000"/>
            </a:schemeClr>
            <a:prstClr val="white"/>
          </a:duotone>
          <a:alphaModFix/>
          <a:extLst>
            <a:ext uri="{BEBA8EAE-BF5A-486C-A8C5-ECC9F3942E4B}">
              <a14:imgProps xmlns:a14="http://schemas.microsoft.com/office/drawing/2010/main">
                <a14:imgLayer r:embed="rId30">
                  <a14:imgEffect>
                    <a14:sharpenSoften amount="-500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1"/>
            </a:ext>
          </a:extLst>
        </a:blip>
        <a:srcRect l="6616" t="8268" r="7616" b="7396"/>
        <a:stretch/>
      </xdr:blipFill>
      <xdr:spPr>
        <a:xfrm>
          <a:off x="3309937" y="982263"/>
          <a:ext cx="732235" cy="720000"/>
        </a:xfrm>
        <a:prstGeom prst="rect">
          <a:avLst/>
        </a:prstGeom>
        <a:solidFill>
          <a:schemeClr val="accent1">
            <a:lumMod val="50000"/>
          </a:schemeClr>
        </a:solidFill>
      </xdr:spPr>
    </xdr:pic>
    <xdr:clientData/>
  </xdr:twoCellAnchor>
  <xdr:oneCellAnchor>
    <xdr:from>
      <xdr:col>5</xdr:col>
      <xdr:colOff>23811</xdr:colOff>
      <xdr:row>27</xdr:row>
      <xdr:rowOff>35719</xdr:rowOff>
    </xdr:from>
    <xdr:ext cx="720000" cy="233205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9843DF31-45EB-4239-87C3-C5321B4B359D}"/>
            </a:ext>
          </a:extLst>
        </xdr:cNvPr>
        <xdr:cNvSpPr txBox="1"/>
      </xdr:nvSpPr>
      <xdr:spPr>
        <a:xfrm>
          <a:off x="3321842" y="6322219"/>
          <a:ext cx="720000" cy="23320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31" tooltip="http://major.io/2014/08/08/use-gist-gem-github-enterprise-github-com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32" tooltip="https://creativecommons.org/licenses/by-sa/3.0/"/>
            </a:rPr>
            <a:t>CC BY-SA</a:t>
          </a:r>
          <a:endParaRPr lang="es-AR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74186</xdr:colOff>
      <xdr:row>0</xdr:row>
      <xdr:rowOff>87467</xdr:rowOff>
    </xdr:from>
    <xdr:to>
      <xdr:col>1</xdr:col>
      <xdr:colOff>455186</xdr:colOff>
      <xdr:row>0</xdr:row>
      <xdr:rowOff>468467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82CFDA-B840-42E7-8E77-EB0DA06B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717" y="87467"/>
          <a:ext cx="38100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93784</xdr:colOff>
      <xdr:row>0</xdr:row>
      <xdr:rowOff>1</xdr:rowOff>
    </xdr:from>
    <xdr:to>
      <xdr:col>9</xdr:col>
      <xdr:colOff>461596</xdr:colOff>
      <xdr:row>9</xdr:row>
      <xdr:rowOff>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Categoria">
              <a:extLst>
                <a:ext uri="{FF2B5EF4-FFF2-40B4-BE49-F238E27FC236}">
                  <a16:creationId xmlns:a16="http://schemas.microsoft.com/office/drawing/2014/main" id="{8E0659C0-3404-4B36-9901-B78A8C939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0092" y="1"/>
              <a:ext cx="1129812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511421</xdr:colOff>
      <xdr:row>0</xdr:row>
      <xdr:rowOff>0</xdr:rowOff>
    </xdr:from>
    <xdr:to>
      <xdr:col>11</xdr:col>
      <xdr:colOff>190501</xdr:colOff>
      <xdr:row>9</xdr:row>
      <xdr:rowOff>7327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Marca">
              <a:extLst>
                <a:ext uri="{FF2B5EF4-FFF2-40B4-BE49-F238E27FC236}">
                  <a16:creationId xmlns:a16="http://schemas.microsoft.com/office/drawing/2014/main" id="{133D6597-EE95-4781-A05E-437E40923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9729" y="0"/>
              <a:ext cx="1203080" cy="17218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0</xdr:colOff>
      <xdr:row>16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7BCD50-6B8F-48DE-A2B2-E5642E54F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11</xdr:col>
      <xdr:colOff>0</xdr:colOff>
      <xdr:row>16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9C6F6E-8567-4A71-A648-6CF69BD3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14287</xdr:rowOff>
    </xdr:from>
    <xdr:to>
      <xdr:col>5</xdr:col>
      <xdr:colOff>8283</xdr:colOff>
      <xdr:row>31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7BF73C-20F8-458F-BF13-8EDA99B53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8283</xdr:colOff>
      <xdr:row>16</xdr:row>
      <xdr:rowOff>16566</xdr:rowOff>
    </xdr:from>
    <xdr:to>
      <xdr:col>11</xdr:col>
      <xdr:colOff>9526</xdr:colOff>
      <xdr:row>31</xdr:row>
      <xdr:rowOff>24848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0A1AC6D-F857-4FC7-8174-F90F523A9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cacionIT" refreshedDate="44916.659541898145" createdVersion="7" refreshedVersion="7" minRefreshableVersion="3" recordCount="10" xr:uid="{D20D21F0-CB02-4440-ADED-87B33DB2549F}">
  <cacheSource type="worksheet">
    <worksheetSource name="Tabla3"/>
  </cacheSource>
  <cacheFields count="7">
    <cacheField name="Codigo" numFmtId="0">
      <sharedItems containsSemiMixedTypes="0" containsString="0" containsNumber="1" containsInteger="1" minValue="1" maxValue="10"/>
    </cacheField>
    <cacheField name="Descripcion" numFmtId="0">
      <sharedItems count="10">
        <s v="1Kg Vacio"/>
        <s v="Auriculares Manos libres"/>
        <s v="1kg Helado + Cucuruchos x4"/>
        <s v="Remera M Manga corta"/>
        <s v="Bufanda"/>
        <s v="Aire Acondicionado 3000Fg"/>
        <s v="Heladera No Frost 2 puertas"/>
        <s v="Secarropas"/>
        <s v="Notebook Elitebook 8470p"/>
        <s v="Lavarropas 8kg carga Frontal"/>
      </sharedItems>
    </cacheField>
    <cacheField name="Categoria" numFmtId="0">
      <sharedItems count="5">
        <s v="Alimentos"/>
        <s v="Tecnologia"/>
        <s v="Indumentaria"/>
        <s v="Hogar"/>
        <s v="Electro"/>
      </sharedItems>
    </cacheField>
    <cacheField name="Marca" numFmtId="0">
      <sharedItems count="6">
        <s v="Sei Tu"/>
        <s v="Samsung"/>
        <s v="Bross"/>
        <s v="Kevingston"/>
        <s v="Whirpool"/>
        <s v="HP"/>
      </sharedItems>
    </cacheField>
    <cacheField name="Stock" numFmtId="0">
      <sharedItems containsSemiMixedTypes="0" containsString="0" containsNumber="1" containsInteger="1" minValue="200" maxValue="800" count="10">
        <n v="800"/>
        <n v="520"/>
        <n v="250"/>
        <n v="400"/>
        <n v="300"/>
        <n v="200"/>
        <n v="540"/>
        <n v="450"/>
        <n v="280"/>
        <n v="600"/>
      </sharedItems>
    </cacheField>
    <cacheField name="vendido" numFmtId="0">
      <sharedItems containsSemiMixedTypes="0" containsString="0" containsNumber="1" containsInteger="1" minValue="0" maxValue="155" count="6">
        <n v="94"/>
        <n v="155"/>
        <n v="55"/>
        <n v="43"/>
        <n v="35"/>
        <n v="0"/>
      </sharedItems>
    </cacheField>
    <cacheField name="precio" numFmtId="44">
      <sharedItems containsSemiMixedTypes="0" containsString="0" containsNumber="1" minValue="1500" maxValue="1859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x v="0"/>
    <x v="0"/>
    <x v="0"/>
    <n v="2000"/>
  </r>
  <r>
    <n v="2"/>
    <x v="1"/>
    <x v="1"/>
    <x v="1"/>
    <x v="1"/>
    <x v="1"/>
    <n v="1500"/>
  </r>
  <r>
    <n v="3"/>
    <x v="2"/>
    <x v="0"/>
    <x v="0"/>
    <x v="2"/>
    <x v="2"/>
    <n v="3000"/>
  </r>
  <r>
    <n v="4"/>
    <x v="3"/>
    <x v="2"/>
    <x v="2"/>
    <x v="3"/>
    <x v="3"/>
    <n v="2500"/>
  </r>
  <r>
    <n v="5"/>
    <x v="4"/>
    <x v="2"/>
    <x v="3"/>
    <x v="4"/>
    <x v="4"/>
    <n v="2000"/>
  </r>
  <r>
    <n v="6"/>
    <x v="5"/>
    <x v="3"/>
    <x v="1"/>
    <x v="5"/>
    <x v="5"/>
    <n v="120000"/>
  </r>
  <r>
    <n v="7"/>
    <x v="6"/>
    <x v="4"/>
    <x v="4"/>
    <x v="6"/>
    <x v="5"/>
    <n v="185999.99"/>
  </r>
  <r>
    <n v="8"/>
    <x v="7"/>
    <x v="4"/>
    <x v="1"/>
    <x v="7"/>
    <x v="5"/>
    <n v="56000"/>
  </r>
  <r>
    <n v="9"/>
    <x v="8"/>
    <x v="1"/>
    <x v="5"/>
    <x v="8"/>
    <x v="5"/>
    <n v="125999.99"/>
  </r>
  <r>
    <n v="10"/>
    <x v="9"/>
    <x v="4"/>
    <x v="4"/>
    <x v="9"/>
    <x v="5"/>
    <n v="95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ADFCB-AEC7-4264-97F6-3271B8558807}" name="TablaDiná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G11" firstHeaderRow="1" firstDataRow="2" firstDataCol="1"/>
  <pivotFields count="7">
    <pivotField showAll="0"/>
    <pivotField axis="axisRow" showAll="0">
      <items count="11">
        <item x="2"/>
        <item x="0"/>
        <item x="5"/>
        <item x="1"/>
        <item x="4"/>
        <item x="6"/>
        <item x="9"/>
        <item x="8"/>
        <item x="3"/>
        <item x="7"/>
        <item t="default"/>
      </items>
    </pivotField>
    <pivotField axis="axisCol" showAll="0">
      <items count="6">
        <item sd="0" x="0"/>
        <item sd="0" x="4"/>
        <item sd="0" x="3"/>
        <item sd="0" x="2"/>
        <item sd="0" x="1"/>
        <item t="default"/>
      </items>
    </pivotField>
    <pivotField axis="axisRow" showAll="0">
      <items count="7">
        <item sd="0" x="2"/>
        <item sd="0" x="5"/>
        <item sd="0" x="3"/>
        <item sd="0" x="1"/>
        <item sd="0" x="0"/>
        <item sd="0" x="4"/>
        <item t="default"/>
      </items>
    </pivotField>
    <pivotField showAll="0">
      <items count="11">
        <item x="5"/>
        <item x="2"/>
        <item x="8"/>
        <item x="4"/>
        <item x="3"/>
        <item x="7"/>
        <item x="1"/>
        <item x="6"/>
        <item x="9"/>
        <item x="0"/>
        <item t="default"/>
      </items>
    </pivotField>
    <pivotField dataField="1" showAll="0">
      <items count="7">
        <item x="5"/>
        <item x="4"/>
        <item x="3"/>
        <item x="2"/>
        <item x="0"/>
        <item x="1"/>
        <item t="default"/>
      </items>
    </pivotField>
    <pivotField numFmtId="44" showAll="0"/>
  </pivotFields>
  <rowFields count="2">
    <field x="3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vendid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B9F20DD4-FAF6-4E8C-808F-26BCC14A3879}" sourceName="Categoria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8C8EF0F7-E2D1-48BC-B467-23D3968AD5F0}" sourceName="Marca">
  <extLst>
    <x:ext xmlns:x15="http://schemas.microsoft.com/office/spreadsheetml/2010/11/main" uri="{2F2917AC-EB37-4324-AD4E-5DD8C200BD13}">
      <x15:tableSlicerCache tableId="3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7A803A37-B020-4278-B2CF-FA6D5A1B60F7}" cache="SegmentaciónDeDatos_Categoria" caption="Categoria" rowHeight="241300"/>
  <slicer name="Marca" xr10:uid="{F6A1531B-D7A2-4697-ACBF-8BE2F38AE71C}" cache="SegmentaciónDeDatos_Marca" caption="Marc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0A5489-9802-4AE4-A76D-7B4FEF5842E9}" name="personal" displayName="personal" ref="B1:J8" totalsRowShown="0">
  <autoFilter ref="B1:J8" xr:uid="{290A5489-9802-4AE4-A76D-7B4FEF5842E9}"/>
  <tableColumns count="9">
    <tableColumn id="1" xr3:uid="{CF711EF4-E704-41B7-BC06-3768E7DEEEE6}" name="Codigo" dataDxfId="28"/>
    <tableColumn id="2" xr3:uid="{5B77A079-8110-499A-82AB-CED12796BE91}" name="Apellido"/>
    <tableColumn id="3" xr3:uid="{D20DA249-3F62-4825-9E78-0D4BC5DB497F}" name="Nombre"/>
    <tableColumn id="4" xr3:uid="{7673C393-7E26-4319-AFBE-45CFB8ED53FF}" name="Nacimiento" dataDxfId="27"/>
    <tableColumn id="5" xr3:uid="{758FDE87-D216-4050-A28C-BAB2EE5A017B}" name="Edad" dataDxfId="26" dataCellStyle="Millares">
      <calculatedColumnFormula>(ahora-personal[[#This Row],[Nacimiento]])/365</calculatedColumnFormula>
    </tableColumn>
    <tableColumn id="6" xr3:uid="{54ADCC17-9DC2-428F-ADCD-3890A1C6FA13}" name="CUIL" dataDxfId="25"/>
    <tableColumn id="7" xr3:uid="{051A56EA-F7CE-4A69-953E-C7743F2C5F26}" name="Telefono" dataDxfId="9"/>
    <tableColumn id="9" xr3:uid="{B0D5475E-F7C4-41CB-BD8C-775D18A95BE7}" name="Ventas" dataDxfId="8">
      <calculatedColumnFormula>COUNTIF(ventas[emp],personal[[#This Row],[Codigo]])</calculatedColumnFormula>
    </tableColumn>
    <tableColumn id="8" xr3:uid="{82327F54-EFC3-42F4-9B94-9A455A16F34F}" name="Recaudacion" dataCellStyle="Moneda">
      <calculatedColumnFormula>SUMIF(ventas[emp],personal[[#This Row],[Codigo]],ventas[total])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3038FF-8DB1-415E-B735-49F7CBD8FE0B}" name="Tabla3" displayName="Tabla3" ref="B1:H11" headerRowDxfId="17" dataDxfId="11" headerRowBorderDxfId="19" tableBorderDxfId="20" totalsRowBorderDxfId="18">
  <autoFilter ref="B1:H11" xr:uid="{953038FF-8DB1-415E-B735-49F7CBD8FE0B}"/>
  <sortState xmlns:xlrd2="http://schemas.microsoft.com/office/spreadsheetml/2017/richdata2" ref="B2:H11">
    <sortCondition ref="B1:B11"/>
  </sortState>
  <tableColumns count="7">
    <tableColumn id="1" xr3:uid="{03C36415-16E1-4EAD-8439-1394EE3CBF10}" name="Codigo" totalsRowLabel="Total" dataDxfId="16" totalsRowDxfId="0"/>
    <tableColumn id="2" xr3:uid="{DA82369E-C3E4-4E39-B1D5-7711AE6A5A97}" name="Descripcion" dataDxfId="15" totalsRowDxfId="1"/>
    <tableColumn id="3" xr3:uid="{6DDB8208-650C-4559-9D88-72303C8E0297}" name="Categoria" dataDxfId="14" totalsRowDxfId="2"/>
    <tableColumn id="4" xr3:uid="{978327F1-DECB-4733-B4A3-6B10096888E1}" name="Marca" dataDxfId="13" totalsRowDxfId="3"/>
    <tableColumn id="5" xr3:uid="{9581032E-767D-4CC3-8A60-41B76617629E}" name="Stock" dataDxfId="12" totalsRowDxfId="4"/>
    <tableColumn id="7" xr3:uid="{00154571-A34A-496F-AD3C-E50605026509}" name="vendido" dataDxfId="7" totalsRowDxfId="5">
      <calculatedColumnFormula>SUMIF(ventas[prod],Tabla3[[#This Row],[Codigo]],ventas[cant])</calculatedColumnFormula>
    </tableColumn>
    <tableColumn id="6" xr3:uid="{8DABAFE6-6006-4564-AF50-58C305F54E04}" name="precio" dataDxfId="10" totalsRowDxfId="6" dataCellStyle="Mon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1A033-612D-47EF-A83D-0B9A90E74816}" name="ventas" displayName="ventas" ref="B1:I21" totalsRowShown="0">
  <autoFilter ref="B1:I21" xr:uid="{DF11A033-612D-47EF-A83D-0B9A90E74816}"/>
  <sortState xmlns:xlrd2="http://schemas.microsoft.com/office/spreadsheetml/2017/richdata2" ref="B2:I21">
    <sortCondition ref="B1:B21"/>
  </sortState>
  <tableColumns count="8">
    <tableColumn id="1" xr3:uid="{B9E4408B-9101-43E0-8570-93CB87AE8AE9}" name="factura"/>
    <tableColumn id="2" xr3:uid="{7E3754F7-A02B-4CF7-B876-3FF872F47002}" name="emp"/>
    <tableColumn id="3" xr3:uid="{8D748E0C-B095-46AF-BB4D-70E6819EA746}" name="prod"/>
    <tableColumn id="4" xr3:uid="{EB1BEEE2-9B39-4D23-BC7B-058CAB84A62D}" name="cant"/>
    <tableColumn id="5" xr3:uid="{5AB6A3B0-764E-46F1-962C-1C7A2FC112FE}" name="precio" dataDxfId="24" dataCellStyle="Moneda"/>
    <tableColumn id="6" xr3:uid="{AFC9C002-F185-48C3-BF63-A3AECD1559A4}" name="total" dataDxfId="23">
      <calculatedColumnFormula>ventas[[#This Row],[cant]]*ventas[[#This Row],[precio]]</calculatedColumnFormula>
    </tableColumn>
    <tableColumn id="7" xr3:uid="{F02FEA70-8886-4373-9833-26E1899EBAE5}" name="iva" dataDxfId="22">
      <calculatedColumnFormula>ventas[[#This Row],[total]]*ventas_iva</calculatedColumnFormula>
    </tableColumn>
    <tableColumn id="8" xr3:uid="{2FD67030-CB5F-4355-8E1F-D2AD2415FF0E}" name="total + iva" dataDxfId="21">
      <calculatedColumnFormula>ventas[[#This Row],[total]]+ventas[[#This Row],[iva]]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ocs\atajos-teclado.doc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215714n/EducacionIT/tree/excel-x13" TargetMode="External"/><Relationship Id="rId4" Type="http://schemas.openxmlformats.org/officeDocument/2006/relationships/hyperlink" Target="https://alumni.educatio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92CE-D90C-4021-AB3E-C4A13A2DA281}">
  <dimension ref="A1:F4"/>
  <sheetViews>
    <sheetView zoomScale="160" zoomScaleNormal="160" workbookViewId="0">
      <selection sqref="A1:A2"/>
    </sheetView>
  </sheetViews>
  <sheetFormatPr baseColWidth="10" defaultRowHeight="15" x14ac:dyDescent="0.25"/>
  <cols>
    <col min="1" max="1" width="3.7109375" bestFit="1" customWidth="1"/>
    <col min="2" max="2" width="11.42578125" customWidth="1"/>
  </cols>
  <sheetData>
    <row r="1" spans="1:6" ht="60" customHeight="1" x14ac:dyDescent="0.25">
      <c r="A1" s="26" t="s">
        <v>0</v>
      </c>
      <c r="B1" s="2"/>
      <c r="C1" s="2"/>
      <c r="D1" s="2"/>
      <c r="E1" s="4"/>
      <c r="F1" s="4"/>
    </row>
    <row r="2" spans="1:6" x14ac:dyDescent="0.25">
      <c r="A2" s="26"/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</row>
    <row r="3" spans="1:6" ht="60" customHeight="1" x14ac:dyDescent="0.25">
      <c r="A3" s="26" t="s">
        <v>1</v>
      </c>
      <c r="B3" s="2"/>
      <c r="C3" s="2"/>
      <c r="D3" s="2"/>
      <c r="E3" s="2"/>
      <c r="F3" s="2"/>
    </row>
    <row r="4" spans="1:6" x14ac:dyDescent="0.25">
      <c r="A4" s="26"/>
      <c r="B4" s="5" t="s">
        <v>7</v>
      </c>
      <c r="C4" s="5" t="s">
        <v>6</v>
      </c>
      <c r="D4" s="5" t="s">
        <v>5</v>
      </c>
      <c r="E4" s="5" t="s">
        <v>4</v>
      </c>
      <c r="F4" s="5" t="s">
        <v>3</v>
      </c>
    </row>
  </sheetData>
  <mergeCells count="2">
    <mergeCell ref="A3:A4"/>
    <mergeCell ref="A1:A2"/>
  </mergeCells>
  <hyperlinks>
    <hyperlink ref="B2" location="empleados!A1" display="empleados" xr:uid="{BED0F57A-DBAE-494E-A312-E6569F274243}"/>
    <hyperlink ref="C2" location="asistencia!A1" display="asistencia" xr:uid="{FAB82A5A-B9A5-49CB-9EDD-9E25D313E164}"/>
    <hyperlink ref="D2" location="productos!A1" display="productos" xr:uid="{65EFC3EF-DAA8-44C3-BCB9-25B789E8748C}"/>
    <hyperlink ref="E2" location="ventas!A1" display="ventas" xr:uid="{2EE867BD-0C65-4B41-B346-67E293708BAD}"/>
    <hyperlink ref="F2" location="estadisticas!A1" display="estadisticas" xr:uid="{0D8FBC5E-C273-43BA-AF4B-F810AE10866B}"/>
    <hyperlink ref="B4" r:id="rId1" xr:uid="{A2CC799F-687B-4059-AD2B-0E92B745563F}"/>
    <hyperlink ref="C4" r:id="rId2" xr:uid="{9BB7CC8D-AD8E-43A6-9E6A-6EB892F37BDA}"/>
    <hyperlink ref="D4" r:id="rId3" xr:uid="{0EEAD238-5AAA-41D5-B2D4-743A86C331F7}"/>
    <hyperlink ref="E4" r:id="rId4" xr:uid="{1D6A399D-D3B8-4C0E-85FC-07E62AC9F310}"/>
    <hyperlink ref="F4" r:id="rId5" xr:uid="{C6874120-9CDA-4F86-9673-4F38179B0DE4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67EB-3256-4033-8E43-B0D71DD3E8D9}">
  <dimension ref="A1:T8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" sqref="H4"/>
    </sheetView>
  </sheetViews>
  <sheetFormatPr baseColWidth="10" defaultRowHeight="15" x14ac:dyDescent="0.25"/>
  <cols>
    <col min="1" max="1" width="13.7109375" bestFit="1" customWidth="1"/>
    <col min="2" max="2" width="9.42578125" style="8" bestFit="1" customWidth="1"/>
    <col min="3" max="3" width="10.85546875" bestFit="1" customWidth="1"/>
    <col min="4" max="4" width="10.5703125" bestFit="1" customWidth="1"/>
    <col min="5" max="5" width="12" style="6" customWidth="1"/>
    <col min="6" max="6" width="7.5703125" bestFit="1" customWidth="1"/>
    <col min="7" max="7" width="14.42578125" style="7" bestFit="1" customWidth="1"/>
    <col min="8" max="8" width="13.28515625" style="7" bestFit="1" customWidth="1"/>
    <col min="9" max="9" width="9.42578125" style="7" bestFit="1" customWidth="1"/>
    <col min="10" max="10" width="14.42578125" bestFit="1" customWidth="1"/>
    <col min="11" max="11" width="9.140625" bestFit="1" customWidth="1"/>
    <col min="12" max="12" width="7.5703125" bestFit="1" customWidth="1"/>
    <col min="13" max="13" width="5.42578125" bestFit="1" customWidth="1"/>
    <col min="14" max="14" width="4.85546875" bestFit="1" customWidth="1"/>
    <col min="15" max="15" width="4.140625" bestFit="1" customWidth="1"/>
    <col min="16" max="16" width="5" bestFit="1" customWidth="1"/>
    <col min="17" max="17" width="4.42578125" bestFit="1" customWidth="1"/>
    <col min="18" max="18" width="4" bestFit="1" customWidth="1"/>
  </cols>
  <sheetData>
    <row r="1" spans="1:20" x14ac:dyDescent="0.25">
      <c r="A1" s="3" t="s">
        <v>2</v>
      </c>
      <c r="B1" s="8" t="s">
        <v>16</v>
      </c>
      <c r="C1" t="s">
        <v>14</v>
      </c>
      <c r="D1" t="s">
        <v>15</v>
      </c>
      <c r="E1" s="6" t="s">
        <v>17</v>
      </c>
      <c r="F1" t="s">
        <v>18</v>
      </c>
      <c r="G1" s="7" t="s">
        <v>19</v>
      </c>
      <c r="H1" s="7" t="s">
        <v>20</v>
      </c>
      <c r="I1" s="7" t="s">
        <v>11</v>
      </c>
      <c r="J1" s="7" t="s">
        <v>129</v>
      </c>
      <c r="K1" s="7"/>
      <c r="M1" s="21" t="s">
        <v>89</v>
      </c>
      <c r="N1" s="22" t="s">
        <v>90</v>
      </c>
      <c r="O1" s="22" t="s">
        <v>91</v>
      </c>
      <c r="P1" s="22" t="s">
        <v>92</v>
      </c>
      <c r="Q1" s="22" t="s">
        <v>93</v>
      </c>
      <c r="R1" s="22" t="s">
        <v>95</v>
      </c>
      <c r="S1" s="22" t="s">
        <v>53</v>
      </c>
      <c r="T1" s="23" t="s">
        <v>94</v>
      </c>
    </row>
    <row r="2" spans="1:20" x14ac:dyDescent="0.25">
      <c r="A2" t="s">
        <v>60</v>
      </c>
      <c r="B2" s="8">
        <v>1</v>
      </c>
      <c r="C2" t="s">
        <v>21</v>
      </c>
      <c r="D2" t="s">
        <v>22</v>
      </c>
      <c r="E2" s="6">
        <v>33346</v>
      </c>
      <c r="F2" s="20">
        <f ca="1">(ahora-personal[[#This Row],[Nacimiento]])/365</f>
        <v>31.700459351851855</v>
      </c>
      <c r="G2" s="7" t="s">
        <v>23</v>
      </c>
      <c r="H2" s="7" t="s">
        <v>24</v>
      </c>
      <c r="I2" s="33">
        <f>COUNTIF(ventas[emp],personal[[#This Row],[Codigo]])</f>
        <v>6</v>
      </c>
      <c r="J2" s="15">
        <f>SUMIF(ventas[emp],personal[[#This Row],[Codigo]],ventas[total])</f>
        <v>237500</v>
      </c>
      <c r="K2" s="7"/>
      <c r="M2" s="24">
        <f ca="1">TODAY()</f>
        <v>44916</v>
      </c>
      <c r="N2" s="25">
        <f ca="1">NOW()</f>
        <v>44916.667663425927</v>
      </c>
      <c r="O2" s="17">
        <f ca="1">YEAR(ahora)</f>
        <v>2022</v>
      </c>
      <c r="P2" s="17">
        <f ca="1">MONTH(ahora)</f>
        <v>12</v>
      </c>
      <c r="Q2" s="17">
        <f ca="1">DAY(ahora)</f>
        <v>21</v>
      </c>
      <c r="R2" s="17">
        <f ca="1">HOUR(ahora)</f>
        <v>16</v>
      </c>
      <c r="S2" s="17">
        <f ca="1">MINUTE(ahora)</f>
        <v>1</v>
      </c>
      <c r="T2" s="19">
        <f ca="1">SECOND(ahora)</f>
        <v>26</v>
      </c>
    </row>
    <row r="3" spans="1:20" x14ac:dyDescent="0.25">
      <c r="A3">
        <f>SUM(personal[Ventas])</f>
        <v>20</v>
      </c>
      <c r="B3" s="8">
        <v>2</v>
      </c>
      <c r="C3" t="s">
        <v>21</v>
      </c>
      <c r="D3" t="s">
        <v>25</v>
      </c>
      <c r="E3" s="6">
        <v>34254</v>
      </c>
      <c r="F3" s="20">
        <f ca="1">(ahora-personal[[#This Row],[Nacimiento]])/365</f>
        <v>29.212788118975144</v>
      </c>
      <c r="G3" s="7" t="s">
        <v>26</v>
      </c>
      <c r="H3" s="7" t="s">
        <v>27</v>
      </c>
      <c r="I3" s="33">
        <f>COUNTIF(ventas[emp],personal[[#This Row],[Codigo]])</f>
        <v>3</v>
      </c>
      <c r="J3" s="15">
        <f>SUMIF(ventas[emp],personal[[#This Row],[Codigo]],ventas[total])</f>
        <v>117500</v>
      </c>
      <c r="K3" s="7"/>
    </row>
    <row r="4" spans="1:20" x14ac:dyDescent="0.25">
      <c r="A4" t="s">
        <v>122</v>
      </c>
      <c r="B4" s="8">
        <v>3</v>
      </c>
      <c r="C4" t="s">
        <v>28</v>
      </c>
      <c r="D4" t="s">
        <v>29</v>
      </c>
      <c r="E4" s="6">
        <v>32030</v>
      </c>
      <c r="F4" s="20">
        <f ca="1">(ahora-personal[[#This Row],[Nacimiento]])/365</f>
        <v>35.305938803906649</v>
      </c>
      <c r="G4" s="7" t="s">
        <v>30</v>
      </c>
      <c r="H4" s="7" t="s">
        <v>31</v>
      </c>
      <c r="I4" s="33">
        <f>COUNTIF(ventas[emp],personal[[#This Row],[Codigo]])</f>
        <v>3</v>
      </c>
      <c r="J4" s="15">
        <f>SUMIF(ventas[emp],personal[[#This Row],[Codigo]],ventas[total])</f>
        <v>75500</v>
      </c>
      <c r="K4" s="7"/>
    </row>
    <row r="5" spans="1:20" x14ac:dyDescent="0.25">
      <c r="A5" s="16">
        <f>SUM(personal[Recaudacion])</f>
        <v>763000</v>
      </c>
      <c r="B5" s="8">
        <v>4</v>
      </c>
      <c r="C5" t="s">
        <v>32</v>
      </c>
      <c r="D5" t="s">
        <v>33</v>
      </c>
      <c r="E5" s="6">
        <v>32695</v>
      </c>
      <c r="F5" s="20">
        <f ca="1">(ahora-personal[[#This Row],[Nacimiento]])/365</f>
        <v>33.484020995687473</v>
      </c>
      <c r="G5" s="7" t="s">
        <v>34</v>
      </c>
      <c r="H5" s="7" t="s">
        <v>35</v>
      </c>
      <c r="I5" s="33">
        <f>COUNTIF(ventas[emp],personal[[#This Row],[Codigo]])</f>
        <v>2</v>
      </c>
      <c r="J5" s="15">
        <f>SUMIF(ventas[emp],personal[[#This Row],[Codigo]],ventas[total])</f>
        <v>145000</v>
      </c>
      <c r="K5" s="7"/>
    </row>
    <row r="6" spans="1:20" x14ac:dyDescent="0.25">
      <c r="B6" s="8">
        <v>5</v>
      </c>
      <c r="C6" t="s">
        <v>36</v>
      </c>
      <c r="D6" t="s">
        <v>37</v>
      </c>
      <c r="E6" s="6">
        <v>36192</v>
      </c>
      <c r="F6" s="20">
        <f ca="1">(ahora-personal[[#This Row],[Nacimiento]])/365</f>
        <v>23.903199077879254</v>
      </c>
      <c r="G6" s="7" t="s">
        <v>38</v>
      </c>
      <c r="H6" s="7" t="s">
        <v>39</v>
      </c>
      <c r="I6" s="33">
        <f>COUNTIF(ventas[emp],personal[[#This Row],[Codigo]])</f>
        <v>3</v>
      </c>
      <c r="J6" s="15">
        <f>SUMIF(ventas[emp],personal[[#This Row],[Codigo]],ventas[total])</f>
        <v>110000</v>
      </c>
      <c r="K6" s="7"/>
    </row>
    <row r="7" spans="1:20" x14ac:dyDescent="0.25">
      <c r="B7" s="8">
        <v>6</v>
      </c>
      <c r="C7" t="s">
        <v>40</v>
      </c>
      <c r="D7" t="s">
        <v>41</v>
      </c>
      <c r="E7" s="6">
        <v>37963</v>
      </c>
      <c r="F7" s="20">
        <f ca="1">(ahora-personal[[#This Row],[Nacimiento]])/365</f>
        <v>19.051144283358706</v>
      </c>
      <c r="G7" s="7" t="s">
        <v>42</v>
      </c>
      <c r="H7" s="7" t="s">
        <v>43</v>
      </c>
      <c r="I7" s="33">
        <f>COUNTIF(ventas[emp],personal[[#This Row],[Codigo]])</f>
        <v>2</v>
      </c>
      <c r="J7" s="15">
        <f>SUMIF(ventas[emp],personal[[#This Row],[Codigo]],ventas[total])</f>
        <v>57500</v>
      </c>
      <c r="K7" s="7"/>
    </row>
    <row r="8" spans="1:20" x14ac:dyDescent="0.25">
      <c r="B8" s="8">
        <v>7</v>
      </c>
      <c r="C8" t="s">
        <v>44</v>
      </c>
      <c r="D8" t="s">
        <v>45</v>
      </c>
      <c r="E8" s="6">
        <v>34464</v>
      </c>
      <c r="F8" s="20">
        <f ca="1">(ahora-personal[[#This Row],[Nacimiento]])/365</f>
        <v>28.637445653221718</v>
      </c>
      <c r="G8" s="7" t="s">
        <v>46</v>
      </c>
      <c r="H8" s="7" t="s">
        <v>43</v>
      </c>
      <c r="I8" s="33">
        <f>COUNTIF(ventas[emp],personal[[#This Row],[Codigo]])</f>
        <v>1</v>
      </c>
      <c r="J8" s="15">
        <f>SUMIF(ventas[emp],personal[[#This Row],[Codigo]],ventas[total])</f>
        <v>20000</v>
      </c>
      <c r="K8" s="7"/>
    </row>
  </sheetData>
  <hyperlinks>
    <hyperlink ref="A1" location="menu!A1" display="volver" xr:uid="{8E24648B-0421-4A91-80AA-0962E435ABB5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F788-BBEB-4249-A48C-F9C74F65E7C5}">
  <dimension ref="A1:AM32"/>
  <sheetViews>
    <sheetView zoomScale="160" zoomScaleNormal="160" workbookViewId="0">
      <pane xSplit="2" ySplit="1" topLeftCell="AH2" activePane="bottomRight" state="frozen"/>
      <selection pane="topRight" activeCell="D1" sqref="D1"/>
      <selection pane="bottomLeft" activeCell="A2" sqref="A2"/>
      <selection pane="bottomRight" activeCell="B2" activeCellId="1" sqref="AH2:AI8 B2:B8"/>
    </sheetView>
  </sheetViews>
  <sheetFormatPr baseColWidth="10" defaultRowHeight="15" x14ac:dyDescent="0.25"/>
  <cols>
    <col min="1" max="1" width="6.5703125" bestFit="1" customWidth="1"/>
    <col min="2" max="2" width="17.28515625" bestFit="1" customWidth="1"/>
    <col min="3" max="5" width="3.7109375" bestFit="1" customWidth="1"/>
    <col min="6" max="6" width="3.7109375" style="11" bestFit="1" customWidth="1"/>
    <col min="7" max="12" width="3.7109375" bestFit="1" customWidth="1"/>
    <col min="13" max="13" width="3.7109375" style="11" bestFit="1" customWidth="1"/>
    <col min="14" max="19" width="3.7109375" bestFit="1" customWidth="1"/>
    <col min="20" max="20" width="3.7109375" style="11" bestFit="1" customWidth="1"/>
    <col min="21" max="25" width="3.7109375" bestFit="1" customWidth="1"/>
    <col min="26" max="27" width="3.7109375" style="11" bestFit="1" customWidth="1"/>
    <col min="28" max="32" width="3.7109375" bestFit="1" customWidth="1"/>
    <col min="33" max="33" width="3.7109375" style="11" bestFit="1" customWidth="1"/>
    <col min="34" max="34" width="5.28515625" bestFit="1" customWidth="1"/>
    <col min="35" max="35" width="4.28515625" bestFit="1" customWidth="1"/>
    <col min="37" max="37" width="9.7109375" bestFit="1" customWidth="1"/>
    <col min="38" max="39" width="5.7109375" bestFit="1" customWidth="1"/>
  </cols>
  <sheetData>
    <row r="1" spans="1:39" ht="45.75" x14ac:dyDescent="0.25">
      <c r="A1" s="3" t="s">
        <v>2</v>
      </c>
      <c r="B1" s="12" t="s">
        <v>13</v>
      </c>
      <c r="C1" s="9">
        <v>44896</v>
      </c>
      <c r="D1" s="9">
        <v>44897</v>
      </c>
      <c r="E1" s="9">
        <v>44898</v>
      </c>
      <c r="F1" s="10">
        <v>44899</v>
      </c>
      <c r="G1" s="9">
        <v>44900</v>
      </c>
      <c r="H1" s="9">
        <v>44901</v>
      </c>
      <c r="I1" s="9">
        <v>44902</v>
      </c>
      <c r="J1" s="9">
        <v>44903</v>
      </c>
      <c r="K1" s="9">
        <v>44904</v>
      </c>
      <c r="L1" s="9">
        <v>44905</v>
      </c>
      <c r="M1" s="10">
        <v>44906</v>
      </c>
      <c r="N1" s="9">
        <v>44907</v>
      </c>
      <c r="O1" s="9">
        <v>44908</v>
      </c>
      <c r="P1" s="9">
        <v>44909</v>
      </c>
      <c r="Q1" s="9">
        <v>44910</v>
      </c>
      <c r="R1" s="9">
        <v>44911</v>
      </c>
      <c r="S1" s="9">
        <v>44912</v>
      </c>
      <c r="T1" s="10">
        <v>44913</v>
      </c>
      <c r="U1" s="9">
        <v>44914</v>
      </c>
      <c r="V1" s="9">
        <v>44915</v>
      </c>
      <c r="W1" s="9">
        <v>44916</v>
      </c>
      <c r="X1" s="9">
        <v>44917</v>
      </c>
      <c r="Y1" s="9">
        <v>44918</v>
      </c>
      <c r="Z1" s="10">
        <v>44919</v>
      </c>
      <c r="AA1" s="10">
        <v>44920</v>
      </c>
      <c r="AB1" s="9">
        <v>44921</v>
      </c>
      <c r="AC1" s="9">
        <v>44922</v>
      </c>
      <c r="AD1" s="9">
        <v>44923</v>
      </c>
      <c r="AE1" s="9">
        <v>44924</v>
      </c>
      <c r="AF1" s="9">
        <v>44925</v>
      </c>
      <c r="AG1" s="10">
        <v>44926</v>
      </c>
      <c r="AH1" t="s">
        <v>49</v>
      </c>
      <c r="AI1" t="s">
        <v>48</v>
      </c>
      <c r="AK1" s="1" t="s">
        <v>58</v>
      </c>
      <c r="AL1" s="1" t="s">
        <v>50</v>
      </c>
      <c r="AM1" s="1" t="s">
        <v>51</v>
      </c>
    </row>
    <row r="2" spans="1:39" x14ac:dyDescent="0.25">
      <c r="B2" s="6" t="str">
        <f>_xlfn.CONCAT(empleados!C2,", ",empleados!D2)</f>
        <v>Racedo, Cristian</v>
      </c>
      <c r="C2" t="s">
        <v>47</v>
      </c>
      <c r="D2" t="s">
        <v>47</v>
      </c>
      <c r="G2" t="s">
        <v>47</v>
      </c>
      <c r="H2" t="s">
        <v>47</v>
      </c>
      <c r="J2" t="s">
        <v>47</v>
      </c>
      <c r="K2" t="s">
        <v>47</v>
      </c>
      <c r="N2" t="s">
        <v>47</v>
      </c>
      <c r="O2" t="s">
        <v>47</v>
      </c>
      <c r="Q2" t="s">
        <v>47</v>
      </c>
      <c r="R2" t="s">
        <v>47</v>
      </c>
      <c r="S2" t="s">
        <v>47</v>
      </c>
      <c r="U2" t="s">
        <v>47</v>
      </c>
      <c r="V2" t="s">
        <v>47</v>
      </c>
      <c r="X2" t="s">
        <v>47</v>
      </c>
      <c r="AB2" t="s">
        <v>47</v>
      </c>
      <c r="AC2" t="s">
        <v>47</v>
      </c>
      <c r="AE2" t="s">
        <v>47</v>
      </c>
      <c r="AF2" t="s">
        <v>47</v>
      </c>
      <c r="AH2">
        <f>COUNTA($C2:$AG2)</f>
        <v>18</v>
      </c>
      <c r="AI2">
        <f>COUNTBLANK($C2:$AG2)</f>
        <v>13</v>
      </c>
      <c r="AK2" s="14" t="s">
        <v>52</v>
      </c>
      <c r="AL2" s="1">
        <f>SUM(AH:AH)</f>
        <v>110</v>
      </c>
      <c r="AM2" s="1">
        <f>SUM(AI:AI)</f>
        <v>107</v>
      </c>
    </row>
    <row r="3" spans="1:39" x14ac:dyDescent="0.25">
      <c r="B3" s="6" t="str">
        <f>_xlfn.CONCAT(empleados!C3,", ",empleados!D3)</f>
        <v>Racedo, Abel</v>
      </c>
      <c r="C3" t="s">
        <v>47</v>
      </c>
      <c r="E3" t="s">
        <v>47</v>
      </c>
      <c r="H3" t="s">
        <v>47</v>
      </c>
      <c r="I3" t="s">
        <v>47</v>
      </c>
      <c r="K3" t="s">
        <v>47</v>
      </c>
      <c r="L3" t="s">
        <v>47</v>
      </c>
      <c r="N3" t="s">
        <v>47</v>
      </c>
      <c r="O3" t="s">
        <v>47</v>
      </c>
      <c r="P3" t="s">
        <v>47</v>
      </c>
      <c r="S3" t="s">
        <v>47</v>
      </c>
      <c r="U3" t="s">
        <v>47</v>
      </c>
      <c r="V3" t="s">
        <v>47</v>
      </c>
      <c r="W3" t="s">
        <v>47</v>
      </c>
      <c r="Y3" t="s">
        <v>47</v>
      </c>
      <c r="AC3" t="s">
        <v>47</v>
      </c>
      <c r="AE3" t="s">
        <v>47</v>
      </c>
      <c r="AF3" t="s">
        <v>47</v>
      </c>
      <c r="AH3">
        <f t="shared" ref="AH3:AH8" si="0">COUNTA($C3:$AG3)</f>
        <v>17</v>
      </c>
      <c r="AI3">
        <f t="shared" ref="AI3:AI8" si="1">COUNTBLANK($C3:$AG3)</f>
        <v>14</v>
      </c>
      <c r="AK3" s="14" t="s">
        <v>53</v>
      </c>
      <c r="AL3" s="1">
        <f>MIN(AH:AH)</f>
        <v>12</v>
      </c>
      <c r="AM3" s="1">
        <f>MIN(AI:AI)</f>
        <v>13</v>
      </c>
    </row>
    <row r="4" spans="1:39" x14ac:dyDescent="0.25">
      <c r="B4" s="6" t="str">
        <f>_xlfn.CONCAT(empleados!C4,", ",empleados!D4)</f>
        <v>Marquez, Rosaura</v>
      </c>
      <c r="D4" t="s">
        <v>47</v>
      </c>
      <c r="H4" t="s">
        <v>47</v>
      </c>
      <c r="K4" t="s">
        <v>47</v>
      </c>
      <c r="O4" t="s">
        <v>47</v>
      </c>
      <c r="P4" t="s">
        <v>47</v>
      </c>
      <c r="Q4" t="s">
        <v>47</v>
      </c>
      <c r="R4" t="s">
        <v>47</v>
      </c>
      <c r="V4" t="s">
        <v>47</v>
      </c>
      <c r="W4" t="s">
        <v>47</v>
      </c>
      <c r="Y4" t="s">
        <v>47</v>
      </c>
      <c r="AB4" t="s">
        <v>47</v>
      </c>
      <c r="AD4" t="s">
        <v>47</v>
      </c>
      <c r="AF4" t="s">
        <v>47</v>
      </c>
      <c r="AH4">
        <f t="shared" si="0"/>
        <v>13</v>
      </c>
      <c r="AI4">
        <f t="shared" si="1"/>
        <v>18</v>
      </c>
      <c r="AK4" s="14" t="s">
        <v>54</v>
      </c>
      <c r="AL4" s="1">
        <f>MAX(AH:AH)</f>
        <v>18</v>
      </c>
      <c r="AM4" s="1">
        <f>MAX(AI:AI)</f>
        <v>19</v>
      </c>
    </row>
    <row r="5" spans="1:39" x14ac:dyDescent="0.25">
      <c r="B5" s="6" t="str">
        <f>_xlfn.CONCAT(empleados!C5,", ",empleados!D5)</f>
        <v>Alvarez, Tomas</v>
      </c>
      <c r="C5" t="s">
        <v>47</v>
      </c>
      <c r="D5" t="s">
        <v>47</v>
      </c>
      <c r="E5" t="s">
        <v>47</v>
      </c>
      <c r="G5" t="s">
        <v>47</v>
      </c>
      <c r="I5" t="s">
        <v>47</v>
      </c>
      <c r="K5" t="s">
        <v>47</v>
      </c>
      <c r="L5" t="s">
        <v>47</v>
      </c>
      <c r="N5" t="s">
        <v>47</v>
      </c>
      <c r="Q5" t="s">
        <v>47</v>
      </c>
      <c r="S5" t="s">
        <v>47</v>
      </c>
      <c r="U5" t="s">
        <v>47</v>
      </c>
      <c r="V5" t="s">
        <v>47</v>
      </c>
      <c r="X5" t="s">
        <v>47</v>
      </c>
      <c r="AB5" t="s">
        <v>47</v>
      </c>
      <c r="AD5" t="s">
        <v>47</v>
      </c>
      <c r="AE5" t="s">
        <v>47</v>
      </c>
      <c r="AF5" t="s">
        <v>47</v>
      </c>
      <c r="AH5">
        <f t="shared" si="0"/>
        <v>17</v>
      </c>
      <c r="AI5">
        <f t="shared" si="1"/>
        <v>14</v>
      </c>
      <c r="AK5" s="14" t="s">
        <v>55</v>
      </c>
      <c r="AL5" s="13">
        <f>AVERAGE(AH:AH)</f>
        <v>15.714285714285714</v>
      </c>
      <c r="AM5" s="13">
        <f>AVERAGE(AI:AI)</f>
        <v>15.285714285714286</v>
      </c>
    </row>
    <row r="6" spans="1:39" x14ac:dyDescent="0.25">
      <c r="B6" s="6" t="str">
        <f>_xlfn.CONCAT(empleados!C6,", ",empleados!D6)</f>
        <v>Gonzalez, Gonzalo</v>
      </c>
      <c r="C6" t="s">
        <v>47</v>
      </c>
      <c r="E6" t="s">
        <v>47</v>
      </c>
      <c r="H6" t="s">
        <v>47</v>
      </c>
      <c r="L6" t="s">
        <v>47</v>
      </c>
      <c r="N6" t="s">
        <v>47</v>
      </c>
      <c r="O6" t="s">
        <v>47</v>
      </c>
      <c r="P6" t="s">
        <v>47</v>
      </c>
      <c r="U6" t="s">
        <v>47</v>
      </c>
      <c r="V6" t="s">
        <v>47</v>
      </c>
      <c r="W6" t="s">
        <v>47</v>
      </c>
      <c r="AC6" t="s">
        <v>47</v>
      </c>
      <c r="AE6" t="s">
        <v>47</v>
      </c>
      <c r="AH6">
        <f t="shared" si="0"/>
        <v>12</v>
      </c>
      <c r="AI6">
        <f t="shared" si="1"/>
        <v>19</v>
      </c>
      <c r="AK6" s="14" t="s">
        <v>56</v>
      </c>
      <c r="AL6" s="1">
        <f>MEDIAN(AH:AH)</f>
        <v>17</v>
      </c>
      <c r="AM6" s="1">
        <f>MEDIAN(AI:AI)</f>
        <v>14</v>
      </c>
    </row>
    <row r="7" spans="1:39" x14ac:dyDescent="0.25">
      <c r="B7" s="6" t="str">
        <f>_xlfn.CONCAT(empleados!C7,", ",empleados!D7)</f>
        <v>Cabello, Camila</v>
      </c>
      <c r="C7" t="s">
        <v>47</v>
      </c>
      <c r="D7" t="s">
        <v>47</v>
      </c>
      <c r="E7" t="s">
        <v>47</v>
      </c>
      <c r="G7" t="s">
        <v>47</v>
      </c>
      <c r="I7" t="s">
        <v>47</v>
      </c>
      <c r="J7" t="s">
        <v>47</v>
      </c>
      <c r="K7" t="s">
        <v>47</v>
      </c>
      <c r="L7" t="s">
        <v>47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V7" t="s">
        <v>47</v>
      </c>
      <c r="W7" t="s">
        <v>47</v>
      </c>
      <c r="Y7" t="s">
        <v>47</v>
      </c>
      <c r="AC7" t="s">
        <v>47</v>
      </c>
      <c r="AD7" t="s">
        <v>47</v>
      </c>
      <c r="AH7">
        <f t="shared" si="0"/>
        <v>18</v>
      </c>
      <c r="AI7">
        <f t="shared" si="1"/>
        <v>13</v>
      </c>
      <c r="AK7" s="14" t="s">
        <v>57</v>
      </c>
      <c r="AL7" s="1">
        <f>MODE(AH:AH)</f>
        <v>18</v>
      </c>
      <c r="AM7" s="1">
        <f>MODE(AI:AI)</f>
        <v>13</v>
      </c>
    </row>
    <row r="8" spans="1:39" x14ac:dyDescent="0.25">
      <c r="B8" s="6" t="str">
        <f>_xlfn.CONCAT(empleados!C8,", ",empleados!D8)</f>
        <v>Rosa, Blanca</v>
      </c>
      <c r="C8" t="s">
        <v>47</v>
      </c>
      <c r="E8" t="s">
        <v>47</v>
      </c>
      <c r="G8" t="s">
        <v>47</v>
      </c>
      <c r="H8" t="s">
        <v>47</v>
      </c>
      <c r="J8" t="s">
        <v>47</v>
      </c>
      <c r="L8" t="s">
        <v>47</v>
      </c>
      <c r="Q8" t="s">
        <v>47</v>
      </c>
      <c r="S8" t="s">
        <v>47</v>
      </c>
      <c r="U8" t="s">
        <v>47</v>
      </c>
      <c r="W8" t="s">
        <v>47</v>
      </c>
      <c r="X8" t="s">
        <v>47</v>
      </c>
      <c r="AB8" t="s">
        <v>47</v>
      </c>
      <c r="AD8" t="s">
        <v>47</v>
      </c>
      <c r="AE8" t="s">
        <v>47</v>
      </c>
      <c r="AF8" t="s">
        <v>47</v>
      </c>
      <c r="AH8">
        <f t="shared" si="0"/>
        <v>15</v>
      </c>
      <c r="AI8">
        <f t="shared" si="1"/>
        <v>16</v>
      </c>
    </row>
    <row r="9" spans="1:39" x14ac:dyDescent="0.25">
      <c r="B9" s="6"/>
    </row>
    <row r="10" spans="1:39" x14ac:dyDescent="0.25">
      <c r="B10" s="6"/>
    </row>
    <row r="11" spans="1:39" x14ac:dyDescent="0.25">
      <c r="B11" s="6"/>
    </row>
    <row r="12" spans="1:39" x14ac:dyDescent="0.25">
      <c r="B12" s="6"/>
    </row>
    <row r="13" spans="1:39" x14ac:dyDescent="0.25">
      <c r="B13" s="6"/>
    </row>
    <row r="14" spans="1:39" x14ac:dyDescent="0.25">
      <c r="B14" s="6"/>
    </row>
    <row r="15" spans="1:39" x14ac:dyDescent="0.25">
      <c r="B15" s="6"/>
    </row>
    <row r="16" spans="1:39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</sheetData>
  <hyperlinks>
    <hyperlink ref="A1" location="menu!A1" display="volver" xr:uid="{8BFFDDD7-057F-420F-8C6A-05E57BF65C7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AB52-3531-407A-960C-E7D80E2A2A17}">
  <dimension ref="A3:G11"/>
  <sheetViews>
    <sheetView workbookViewId="0">
      <selection activeCell="C9" sqref="C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7.140625" bestFit="1" customWidth="1"/>
    <col min="4" max="4" width="6.140625" bestFit="1" customWidth="1"/>
    <col min="5" max="5" width="13" bestFit="1" customWidth="1"/>
    <col min="6" max="6" width="10.5703125" bestFit="1" customWidth="1"/>
    <col min="7" max="8" width="12.5703125" bestFit="1" customWidth="1"/>
    <col min="9" max="9" width="13.7109375" bestFit="1" customWidth="1"/>
    <col min="10" max="10" width="14.5703125" bestFit="1" customWidth="1"/>
    <col min="11" max="11" width="13.7109375" bestFit="1" customWidth="1"/>
    <col min="12" max="12" width="19.5703125" bestFit="1" customWidth="1"/>
    <col min="13" max="13" width="18.7109375" bestFit="1" customWidth="1"/>
  </cols>
  <sheetData>
    <row r="3" spans="1:7" x14ac:dyDescent="0.25">
      <c r="A3" s="34" t="s">
        <v>134</v>
      </c>
      <c r="B3" s="34" t="s">
        <v>133</v>
      </c>
    </row>
    <row r="4" spans="1:7" x14ac:dyDescent="0.25">
      <c r="A4" s="34" t="s">
        <v>131</v>
      </c>
      <c r="B4" t="s">
        <v>100</v>
      </c>
      <c r="C4" t="s">
        <v>116</v>
      </c>
      <c r="D4" t="s">
        <v>110</v>
      </c>
      <c r="E4" t="s">
        <v>101</v>
      </c>
      <c r="F4" t="s">
        <v>117</v>
      </c>
      <c r="G4" t="s">
        <v>132</v>
      </c>
    </row>
    <row r="5" spans="1:7" x14ac:dyDescent="0.25">
      <c r="A5" s="14" t="s">
        <v>113</v>
      </c>
      <c r="B5" s="33"/>
      <c r="C5" s="33"/>
      <c r="D5" s="33"/>
      <c r="E5" s="33">
        <v>43</v>
      </c>
      <c r="F5" s="33"/>
      <c r="G5" s="33">
        <v>43</v>
      </c>
    </row>
    <row r="6" spans="1:7" x14ac:dyDescent="0.25">
      <c r="A6" s="14" t="s">
        <v>119</v>
      </c>
      <c r="B6" s="33"/>
      <c r="C6" s="33"/>
      <c r="D6" s="33"/>
      <c r="E6" s="33"/>
      <c r="F6" s="33">
        <v>0</v>
      </c>
      <c r="G6" s="33">
        <v>0</v>
      </c>
    </row>
    <row r="7" spans="1:7" x14ac:dyDescent="0.25">
      <c r="A7" s="14" t="s">
        <v>114</v>
      </c>
      <c r="B7" s="33"/>
      <c r="C7" s="33"/>
      <c r="D7" s="33"/>
      <c r="E7" s="33">
        <v>35</v>
      </c>
      <c r="F7" s="33"/>
      <c r="G7" s="33">
        <v>35</v>
      </c>
    </row>
    <row r="8" spans="1:7" x14ac:dyDescent="0.25">
      <c r="A8" s="14" t="s">
        <v>108</v>
      </c>
      <c r="B8" s="33"/>
      <c r="C8" s="33">
        <v>0</v>
      </c>
      <c r="D8" s="33">
        <v>0</v>
      </c>
      <c r="E8" s="33"/>
      <c r="F8" s="33">
        <v>155</v>
      </c>
      <c r="G8" s="33">
        <v>155</v>
      </c>
    </row>
    <row r="9" spans="1:7" x14ac:dyDescent="0.25">
      <c r="A9" s="14" t="s">
        <v>107</v>
      </c>
      <c r="B9" s="33">
        <v>149</v>
      </c>
      <c r="C9" s="33"/>
      <c r="D9" s="33"/>
      <c r="E9" s="33"/>
      <c r="F9" s="33"/>
      <c r="G9" s="33">
        <v>149</v>
      </c>
    </row>
    <row r="10" spans="1:7" x14ac:dyDescent="0.25">
      <c r="A10" s="14" t="s">
        <v>112</v>
      </c>
      <c r="B10" s="33"/>
      <c r="C10" s="33">
        <v>0</v>
      </c>
      <c r="D10" s="33"/>
      <c r="E10" s="33"/>
      <c r="F10" s="33"/>
      <c r="G10" s="33">
        <v>0</v>
      </c>
    </row>
    <row r="11" spans="1:7" x14ac:dyDescent="0.25">
      <c r="A11" s="14" t="s">
        <v>132</v>
      </c>
      <c r="B11" s="33">
        <v>149</v>
      </c>
      <c r="C11" s="33">
        <v>0</v>
      </c>
      <c r="D11" s="33">
        <v>0</v>
      </c>
      <c r="E11" s="33">
        <v>78</v>
      </c>
      <c r="F11" s="33">
        <v>155</v>
      </c>
      <c r="G11" s="33">
        <v>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9ABB-F5B7-490C-B9DD-863F7845542C}">
  <dimension ref="A1:H11"/>
  <sheetViews>
    <sheetView tabSelected="1" zoomScale="130" zoomScaleNormal="130" workbookViewId="0">
      <selection activeCell="H11" sqref="H11"/>
    </sheetView>
  </sheetViews>
  <sheetFormatPr baseColWidth="10" defaultRowHeight="15" x14ac:dyDescent="0.25"/>
  <cols>
    <col min="2" max="2" width="8.28515625" customWidth="1"/>
    <col min="3" max="3" width="21.7109375" customWidth="1"/>
    <col min="4" max="4" width="13" bestFit="1" customWidth="1"/>
    <col min="5" max="5" width="10.85546875" bestFit="1" customWidth="1"/>
    <col min="6" max="6" width="8" bestFit="1" customWidth="1"/>
    <col min="7" max="7" width="10.5703125" bestFit="1" customWidth="1"/>
    <col min="8" max="8" width="13.7109375" bestFit="1" customWidth="1"/>
  </cols>
  <sheetData>
    <row r="1" spans="1:8" x14ac:dyDescent="0.25">
      <c r="A1" s="3" t="s">
        <v>2</v>
      </c>
      <c r="B1" s="27" t="s">
        <v>16</v>
      </c>
      <c r="C1" s="27" t="s">
        <v>97</v>
      </c>
      <c r="D1" s="27" t="s">
        <v>98</v>
      </c>
      <c r="E1" s="27" t="s">
        <v>99</v>
      </c>
      <c r="F1" s="27" t="s">
        <v>96</v>
      </c>
      <c r="G1" s="27" t="s">
        <v>130</v>
      </c>
      <c r="H1" s="28" t="s">
        <v>61</v>
      </c>
    </row>
    <row r="2" spans="1:8" x14ac:dyDescent="0.25">
      <c r="B2" s="29">
        <v>1</v>
      </c>
      <c r="C2" s="29" t="s">
        <v>102</v>
      </c>
      <c r="D2" s="29" t="s">
        <v>100</v>
      </c>
      <c r="E2" s="29" t="s">
        <v>107</v>
      </c>
      <c r="F2" s="29">
        <v>800</v>
      </c>
      <c r="G2" s="29">
        <f>SUMIF(ventas[prod],Tabla3[[#This Row],[Codigo]],ventas[cant])</f>
        <v>94</v>
      </c>
      <c r="H2" s="30">
        <v>2000</v>
      </c>
    </row>
    <row r="3" spans="1:8" x14ac:dyDescent="0.25">
      <c r="B3" s="29">
        <v>2</v>
      </c>
      <c r="C3" s="29" t="s">
        <v>105</v>
      </c>
      <c r="D3" s="29" t="s">
        <v>117</v>
      </c>
      <c r="E3" s="29" t="s">
        <v>108</v>
      </c>
      <c r="F3" s="29">
        <v>520</v>
      </c>
      <c r="G3" s="29">
        <f>SUMIF(ventas[prod],Tabla3[[#This Row],[Codigo]],ventas[cant])</f>
        <v>155</v>
      </c>
      <c r="H3" s="30">
        <v>1500</v>
      </c>
    </row>
    <row r="4" spans="1:8" x14ac:dyDescent="0.25">
      <c r="B4" s="29">
        <v>3</v>
      </c>
      <c r="C4" s="29" t="s">
        <v>103</v>
      </c>
      <c r="D4" s="29" t="s">
        <v>100</v>
      </c>
      <c r="E4" s="29" t="s">
        <v>107</v>
      </c>
      <c r="F4" s="29">
        <v>250</v>
      </c>
      <c r="G4" s="29">
        <f>SUMIF(ventas[prod],Tabla3[[#This Row],[Codigo]],ventas[cant])</f>
        <v>55</v>
      </c>
      <c r="H4" s="30">
        <v>3000</v>
      </c>
    </row>
    <row r="5" spans="1:8" x14ac:dyDescent="0.25">
      <c r="B5" s="29">
        <v>4</v>
      </c>
      <c r="C5" s="29" t="s">
        <v>104</v>
      </c>
      <c r="D5" s="29" t="s">
        <v>101</v>
      </c>
      <c r="E5" s="29" t="s">
        <v>113</v>
      </c>
      <c r="F5" s="29">
        <v>400</v>
      </c>
      <c r="G5" s="29">
        <f>SUMIF(ventas[prod],Tabla3[[#This Row],[Codigo]],ventas[cant])</f>
        <v>43</v>
      </c>
      <c r="H5" s="30">
        <v>2500</v>
      </c>
    </row>
    <row r="6" spans="1:8" x14ac:dyDescent="0.25">
      <c r="B6" s="29">
        <v>5</v>
      </c>
      <c r="C6" s="29" t="s">
        <v>106</v>
      </c>
      <c r="D6" s="29" t="s">
        <v>101</v>
      </c>
      <c r="E6" s="29" t="s">
        <v>114</v>
      </c>
      <c r="F6" s="29">
        <v>300</v>
      </c>
      <c r="G6" s="29">
        <f>SUMIF(ventas[prod],Tabla3[[#This Row],[Codigo]],ventas[cant])</f>
        <v>35</v>
      </c>
      <c r="H6" s="30">
        <v>2000</v>
      </c>
    </row>
    <row r="7" spans="1:8" x14ac:dyDescent="0.25">
      <c r="B7" s="31">
        <v>6</v>
      </c>
      <c r="C7" s="31" t="s">
        <v>109</v>
      </c>
      <c r="D7" s="31" t="s">
        <v>110</v>
      </c>
      <c r="E7" s="31" t="s">
        <v>108</v>
      </c>
      <c r="F7" s="31">
        <v>200</v>
      </c>
      <c r="G7" s="31">
        <f>SUMIF(ventas[prod],Tabla3[[#This Row],[Codigo]],ventas[cant])</f>
        <v>0</v>
      </c>
      <c r="H7" s="32">
        <v>120000</v>
      </c>
    </row>
    <row r="8" spans="1:8" x14ac:dyDescent="0.25">
      <c r="B8" s="31">
        <v>7</v>
      </c>
      <c r="C8" s="31" t="s">
        <v>111</v>
      </c>
      <c r="D8" s="31" t="s">
        <v>116</v>
      </c>
      <c r="E8" s="31" t="s">
        <v>112</v>
      </c>
      <c r="F8" s="31">
        <v>540</v>
      </c>
      <c r="G8" s="31">
        <f>SUMIF(ventas[prod],Tabla3[[#This Row],[Codigo]],ventas[cant])</f>
        <v>0</v>
      </c>
      <c r="H8" s="32">
        <v>185999.99</v>
      </c>
    </row>
    <row r="9" spans="1:8" x14ac:dyDescent="0.25">
      <c r="B9" s="31">
        <v>8</v>
      </c>
      <c r="C9" s="31" t="s">
        <v>115</v>
      </c>
      <c r="D9" s="31" t="s">
        <v>116</v>
      </c>
      <c r="E9" s="31" t="s">
        <v>108</v>
      </c>
      <c r="F9" s="31">
        <v>450</v>
      </c>
      <c r="G9" s="31">
        <f>SUMIF(ventas[prod],Tabla3[[#This Row],[Codigo]],ventas[cant])</f>
        <v>0</v>
      </c>
      <c r="H9" s="32">
        <v>56000</v>
      </c>
    </row>
    <row r="10" spans="1:8" x14ac:dyDescent="0.25">
      <c r="B10" s="31">
        <v>9</v>
      </c>
      <c r="C10" s="31" t="s">
        <v>118</v>
      </c>
      <c r="D10" s="31" t="s">
        <v>117</v>
      </c>
      <c r="E10" s="31" t="s">
        <v>119</v>
      </c>
      <c r="F10" s="31">
        <v>280</v>
      </c>
      <c r="G10" s="31">
        <f>SUMIF(ventas[prod],Tabla3[[#This Row],[Codigo]],ventas[cant])</f>
        <v>0</v>
      </c>
      <c r="H10" s="32">
        <v>125999.99</v>
      </c>
    </row>
    <row r="11" spans="1:8" x14ac:dyDescent="0.25">
      <c r="B11" s="31">
        <v>10</v>
      </c>
      <c r="C11" s="31" t="s">
        <v>120</v>
      </c>
      <c r="D11" s="31" t="s">
        <v>116</v>
      </c>
      <c r="E11" s="31" t="s">
        <v>112</v>
      </c>
      <c r="F11" s="31">
        <v>600</v>
      </c>
      <c r="G11" s="31">
        <f>SUMIF(ventas[prod],Tabla3[[#This Row],[Codigo]],ventas[cant])</f>
        <v>0</v>
      </c>
      <c r="H11" s="32">
        <v>95699</v>
      </c>
    </row>
  </sheetData>
  <conditionalFormatting sqref="F1:G1 F2:F11">
    <cfRule type="iconSet" priority="2">
      <iconSet iconSet="3Symbols">
        <cfvo type="percent" val="0"/>
        <cfvo type="num" val="300"/>
        <cfvo type="num" val="500"/>
      </iconSet>
    </cfRule>
  </conditionalFormatting>
  <conditionalFormatting sqref="H1:H11">
    <cfRule type="colorScale" priority="1">
      <colorScale>
        <cfvo type="min"/>
        <cfvo type="max"/>
        <color rgb="FF63BE7B"/>
        <color rgb="FFFFEF9C"/>
      </colorScale>
    </cfRule>
  </conditionalFormatting>
  <hyperlinks>
    <hyperlink ref="A1" location="menu!A1" display="volver" xr:uid="{8CDE1034-2454-4326-BEC3-A75D2B9B249A}"/>
  </hyperlink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701A-7CF0-42AE-AC47-1F3723EEBEB3}">
  <dimension ref="A1:L2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5" x14ac:dyDescent="0.25"/>
  <cols>
    <col min="1" max="1" width="7.28515625" customWidth="1"/>
    <col min="2" max="2" width="9.42578125" bestFit="1" customWidth="1"/>
    <col min="3" max="3" width="7.28515625" bestFit="1" customWidth="1"/>
    <col min="4" max="4" width="7.42578125" bestFit="1" customWidth="1"/>
    <col min="5" max="5" width="7" bestFit="1" customWidth="1"/>
    <col min="6" max="6" width="11" style="15" bestFit="1" customWidth="1"/>
    <col min="7" max="8" width="12" bestFit="1" customWidth="1"/>
    <col min="9" max="9" width="19.28515625" customWidth="1"/>
    <col min="10" max="10" width="3.140625" customWidth="1"/>
    <col min="11" max="11" width="23" bestFit="1" customWidth="1"/>
    <col min="12" max="12" width="13.7109375" bestFit="1" customWidth="1"/>
  </cols>
  <sheetData>
    <row r="1" spans="1:12" x14ac:dyDescent="0.25">
      <c r="A1" s="3" t="s">
        <v>2</v>
      </c>
      <c r="B1" t="s">
        <v>59</v>
      </c>
      <c r="C1" t="s">
        <v>82</v>
      </c>
      <c r="D1" t="s">
        <v>78</v>
      </c>
      <c r="E1" t="s">
        <v>60</v>
      </c>
      <c r="F1" s="15" t="s">
        <v>61</v>
      </c>
      <c r="G1" t="s">
        <v>62</v>
      </c>
      <c r="H1" t="s">
        <v>79</v>
      </c>
      <c r="I1" t="s">
        <v>80</v>
      </c>
      <c r="K1" t="s">
        <v>121</v>
      </c>
    </row>
    <row r="2" spans="1:12" x14ac:dyDescent="0.25">
      <c r="A2" s="1" t="s">
        <v>79</v>
      </c>
      <c r="B2" t="s">
        <v>63</v>
      </c>
      <c r="C2">
        <v>2</v>
      </c>
      <c r="D2">
        <v>5</v>
      </c>
      <c r="E2">
        <v>10</v>
      </c>
      <c r="F2" s="15">
        <v>2000</v>
      </c>
      <c r="G2" s="16">
        <f>ventas[[#This Row],[cant]]*ventas[[#This Row],[precio]]</f>
        <v>20000</v>
      </c>
      <c r="H2" s="16">
        <f>ventas[[#This Row],[total]]*ventas_iva</f>
        <v>4200</v>
      </c>
      <c r="I2" s="16">
        <f>ventas[[#This Row],[total]]+ventas[[#This Row],[iva]]</f>
        <v>24200</v>
      </c>
      <c r="K2" t="s">
        <v>87</v>
      </c>
      <c r="L2">
        <f>COUNT(ventas[emp])</f>
        <v>20</v>
      </c>
    </row>
    <row r="3" spans="1:12" x14ac:dyDescent="0.25">
      <c r="A3" s="18">
        <v>0.21</v>
      </c>
      <c r="B3" t="s">
        <v>64</v>
      </c>
      <c r="C3">
        <v>4</v>
      </c>
      <c r="D3">
        <v>2</v>
      </c>
      <c r="E3">
        <v>50</v>
      </c>
      <c r="F3" s="15">
        <v>1500</v>
      </c>
      <c r="G3" s="16">
        <f>ventas[[#This Row],[cant]]*ventas[[#This Row],[precio]]</f>
        <v>75000</v>
      </c>
      <c r="H3" s="16">
        <f>ventas[[#This Row],[total]]*ventas_iva</f>
        <v>15750</v>
      </c>
      <c r="I3" s="16">
        <f>ventas[[#This Row],[total]]+ventas[[#This Row],[iva]]</f>
        <v>90750</v>
      </c>
      <c r="K3" t="s">
        <v>122</v>
      </c>
      <c r="L3" s="16">
        <f>SUM(ventas[total])</f>
        <v>763000</v>
      </c>
    </row>
    <row r="4" spans="1:12" x14ac:dyDescent="0.25">
      <c r="B4" t="s">
        <v>65</v>
      </c>
      <c r="C4">
        <v>1</v>
      </c>
      <c r="D4">
        <v>2</v>
      </c>
      <c r="E4">
        <v>30</v>
      </c>
      <c r="F4" s="15">
        <v>1500</v>
      </c>
      <c r="G4" s="16">
        <f>ventas[[#This Row],[cant]]*ventas[[#This Row],[precio]]</f>
        <v>45000</v>
      </c>
      <c r="H4" s="16">
        <f>ventas[[#This Row],[total]]*ventas_iva</f>
        <v>9450</v>
      </c>
      <c r="I4" s="16">
        <f>ventas[[#This Row],[total]]+ventas[[#This Row],[iva]]</f>
        <v>54450</v>
      </c>
      <c r="K4" t="s">
        <v>123</v>
      </c>
      <c r="L4" s="15">
        <f>AVERAGE(ventas[total])</f>
        <v>38150</v>
      </c>
    </row>
    <row r="5" spans="1:12" x14ac:dyDescent="0.25">
      <c r="B5" t="s">
        <v>66</v>
      </c>
      <c r="C5">
        <v>1</v>
      </c>
      <c r="D5">
        <v>3</v>
      </c>
      <c r="E5">
        <v>20</v>
      </c>
      <c r="F5" s="15">
        <v>3000</v>
      </c>
      <c r="G5" s="16">
        <f>ventas[[#This Row],[cant]]*ventas[[#This Row],[precio]]</f>
        <v>60000</v>
      </c>
      <c r="H5" s="16">
        <f>ventas[[#This Row],[total]]*ventas_iva</f>
        <v>12600</v>
      </c>
      <c r="I5" s="16">
        <f>ventas[[#This Row],[total]]+ventas[[#This Row],[iva]]</f>
        <v>72600</v>
      </c>
      <c r="K5" t="s">
        <v>124</v>
      </c>
      <c r="L5" s="15">
        <f>MEDIAN(ventas[total])</f>
        <v>37500</v>
      </c>
    </row>
    <row r="6" spans="1:12" x14ac:dyDescent="0.25">
      <c r="B6" t="s">
        <v>67</v>
      </c>
      <c r="C6">
        <v>5</v>
      </c>
      <c r="D6">
        <v>4</v>
      </c>
      <c r="E6">
        <v>18</v>
      </c>
      <c r="F6" s="15">
        <v>2500</v>
      </c>
      <c r="G6" s="16">
        <f>ventas[[#This Row],[cant]]*ventas[[#This Row],[precio]]</f>
        <v>45000</v>
      </c>
      <c r="H6" s="16">
        <f>ventas[[#This Row],[total]]*ventas_iva</f>
        <v>9450</v>
      </c>
      <c r="I6" s="16">
        <f>ventas[[#This Row],[total]]+ventas[[#This Row],[iva]]</f>
        <v>54450</v>
      </c>
      <c r="K6" t="s">
        <v>128</v>
      </c>
      <c r="L6" s="15">
        <f>MODE(ventas[total])</f>
        <v>20000</v>
      </c>
    </row>
    <row r="7" spans="1:12" x14ac:dyDescent="0.25">
      <c r="B7" t="s">
        <v>68</v>
      </c>
      <c r="C7">
        <v>3</v>
      </c>
      <c r="D7">
        <v>1</v>
      </c>
      <c r="E7">
        <v>4</v>
      </c>
      <c r="F7" s="15">
        <v>2000</v>
      </c>
      <c r="G7" s="16">
        <f>ventas[[#This Row],[cant]]*ventas[[#This Row],[precio]]</f>
        <v>8000</v>
      </c>
      <c r="H7" s="16">
        <f>ventas[[#This Row],[total]]*ventas_iva</f>
        <v>1680</v>
      </c>
      <c r="I7" s="16">
        <f>ventas[[#This Row],[total]]+ventas[[#This Row],[iva]]</f>
        <v>9680</v>
      </c>
      <c r="K7" t="s">
        <v>125</v>
      </c>
      <c r="L7" s="15">
        <f>MIN(ventas[total])</f>
        <v>7500</v>
      </c>
    </row>
    <row r="8" spans="1:12" x14ac:dyDescent="0.25">
      <c r="B8" t="s">
        <v>69</v>
      </c>
      <c r="C8">
        <v>6</v>
      </c>
      <c r="D8">
        <v>1</v>
      </c>
      <c r="E8">
        <v>25</v>
      </c>
      <c r="F8" s="15">
        <v>2000</v>
      </c>
      <c r="G8" s="16">
        <f>ventas[[#This Row],[cant]]*ventas[[#This Row],[precio]]</f>
        <v>50000</v>
      </c>
      <c r="H8" s="16">
        <f>ventas[[#This Row],[total]]*ventas_iva</f>
        <v>10500</v>
      </c>
      <c r="I8" s="16">
        <f>ventas[[#This Row],[total]]+ventas[[#This Row],[iva]]</f>
        <v>60500</v>
      </c>
      <c r="K8" t="s">
        <v>126</v>
      </c>
      <c r="L8" s="15">
        <f>MAX(ventas[total])</f>
        <v>75000</v>
      </c>
    </row>
    <row r="9" spans="1:12" x14ac:dyDescent="0.25">
      <c r="B9" t="s">
        <v>70</v>
      </c>
      <c r="C9">
        <v>7</v>
      </c>
      <c r="D9">
        <v>5</v>
      </c>
      <c r="E9">
        <v>10</v>
      </c>
      <c r="F9" s="15">
        <v>2000</v>
      </c>
      <c r="G9" s="16">
        <f>ventas[[#This Row],[cant]]*ventas[[#This Row],[precio]]</f>
        <v>20000</v>
      </c>
      <c r="H9" s="16">
        <f>ventas[[#This Row],[total]]*ventas_iva</f>
        <v>4200</v>
      </c>
      <c r="I9" s="16">
        <f>ventas[[#This Row],[total]]+ventas[[#This Row],[iva]]</f>
        <v>24200</v>
      </c>
      <c r="K9" t="s">
        <v>127</v>
      </c>
      <c r="L9">
        <f>MODE(ventas[emp])</f>
        <v>1</v>
      </c>
    </row>
    <row r="10" spans="1:12" x14ac:dyDescent="0.25">
      <c r="B10" t="s">
        <v>71</v>
      </c>
      <c r="C10">
        <v>6</v>
      </c>
      <c r="D10">
        <v>2</v>
      </c>
      <c r="E10">
        <v>5</v>
      </c>
      <c r="F10" s="15">
        <v>1500</v>
      </c>
      <c r="G10" s="16">
        <f>ventas[[#This Row],[cant]]*ventas[[#This Row],[precio]]</f>
        <v>7500</v>
      </c>
      <c r="H10" s="16">
        <f>ventas[[#This Row],[total]]*ventas_iva</f>
        <v>1575</v>
      </c>
      <c r="I10" s="16">
        <f>ventas[[#This Row],[total]]+ventas[[#This Row],[iva]]</f>
        <v>9075</v>
      </c>
      <c r="K10" t="s">
        <v>88</v>
      </c>
      <c r="L10">
        <f>MODE(ventas[prod])</f>
        <v>2</v>
      </c>
    </row>
    <row r="11" spans="1:12" x14ac:dyDescent="0.25">
      <c r="B11" t="s">
        <v>72</v>
      </c>
      <c r="C11">
        <v>5</v>
      </c>
      <c r="D11">
        <v>4</v>
      </c>
      <c r="E11">
        <v>10</v>
      </c>
      <c r="F11" s="15">
        <v>2500</v>
      </c>
      <c r="G11" s="16">
        <f>ventas[[#This Row],[cant]]*ventas[[#This Row],[precio]]</f>
        <v>25000</v>
      </c>
      <c r="H11" s="16">
        <f>ventas[[#This Row],[total]]*ventas_iva</f>
        <v>5250</v>
      </c>
      <c r="I11" s="16">
        <f>ventas[[#This Row],[total]]+ventas[[#This Row],[iva]]</f>
        <v>30250</v>
      </c>
    </row>
    <row r="12" spans="1:12" x14ac:dyDescent="0.25">
      <c r="B12" t="s">
        <v>73</v>
      </c>
      <c r="C12">
        <v>2</v>
      </c>
      <c r="D12">
        <v>3</v>
      </c>
      <c r="E12">
        <v>20</v>
      </c>
      <c r="F12" s="15">
        <v>3000</v>
      </c>
      <c r="G12" s="16">
        <f>ventas[[#This Row],[cant]]*ventas[[#This Row],[precio]]</f>
        <v>60000</v>
      </c>
      <c r="H12" s="16">
        <f>ventas[[#This Row],[total]]*ventas_iva</f>
        <v>12600</v>
      </c>
      <c r="I12" s="16">
        <f>ventas[[#This Row],[total]]+ventas[[#This Row],[iva]]</f>
        <v>72600</v>
      </c>
    </row>
    <row r="13" spans="1:12" x14ac:dyDescent="0.25">
      <c r="B13" t="s">
        <v>74</v>
      </c>
      <c r="C13">
        <v>1</v>
      </c>
      <c r="D13">
        <v>2</v>
      </c>
      <c r="E13">
        <v>25</v>
      </c>
      <c r="F13" s="15">
        <v>1500</v>
      </c>
      <c r="G13" s="16">
        <f>ventas[[#This Row],[cant]]*ventas[[#This Row],[precio]]</f>
        <v>37500</v>
      </c>
      <c r="H13" s="16">
        <f>ventas[[#This Row],[total]]*ventas_iva</f>
        <v>7875</v>
      </c>
      <c r="I13" s="16">
        <f>ventas[[#This Row],[total]]+ventas[[#This Row],[iva]]</f>
        <v>45375</v>
      </c>
    </row>
    <row r="14" spans="1:12" x14ac:dyDescent="0.25">
      <c r="B14" t="s">
        <v>75</v>
      </c>
      <c r="C14">
        <v>1</v>
      </c>
      <c r="D14">
        <v>3</v>
      </c>
      <c r="E14">
        <v>15</v>
      </c>
      <c r="F14" s="15">
        <v>3000</v>
      </c>
      <c r="G14" s="16">
        <f>ventas[[#This Row],[cant]]*ventas[[#This Row],[precio]]</f>
        <v>45000</v>
      </c>
      <c r="H14" s="16">
        <f>ventas[[#This Row],[total]]*ventas_iva</f>
        <v>9450</v>
      </c>
      <c r="I14" s="16">
        <f>ventas[[#This Row],[total]]+ventas[[#This Row],[iva]]</f>
        <v>54450</v>
      </c>
    </row>
    <row r="15" spans="1:12" x14ac:dyDescent="0.25">
      <c r="B15" t="s">
        <v>76</v>
      </c>
      <c r="C15">
        <v>5</v>
      </c>
      <c r="D15">
        <v>1</v>
      </c>
      <c r="E15">
        <v>20</v>
      </c>
      <c r="F15" s="15">
        <v>2000</v>
      </c>
      <c r="G15" s="16">
        <f>ventas[[#This Row],[cant]]*ventas[[#This Row],[precio]]</f>
        <v>40000</v>
      </c>
      <c r="H15" s="16">
        <f>ventas[[#This Row],[total]]*ventas_iva</f>
        <v>8400</v>
      </c>
      <c r="I15" s="16">
        <f>ventas[[#This Row],[total]]+ventas[[#This Row],[iva]]</f>
        <v>48400</v>
      </c>
    </row>
    <row r="16" spans="1:12" x14ac:dyDescent="0.25">
      <c r="B16" t="s">
        <v>77</v>
      </c>
      <c r="C16">
        <v>1</v>
      </c>
      <c r="D16">
        <v>1</v>
      </c>
      <c r="E16">
        <v>10</v>
      </c>
      <c r="F16" s="15">
        <v>2000</v>
      </c>
      <c r="G16" s="16">
        <f>ventas[[#This Row],[cant]]*ventas[[#This Row],[precio]]</f>
        <v>20000</v>
      </c>
      <c r="H16" s="16">
        <f>ventas[[#This Row],[total]]*ventas_iva</f>
        <v>4200</v>
      </c>
      <c r="I16" s="16">
        <f>ventas[[#This Row],[total]]+ventas[[#This Row],[iva]]</f>
        <v>24200</v>
      </c>
    </row>
    <row r="17" spans="2:9" x14ac:dyDescent="0.25">
      <c r="B17" t="s">
        <v>81</v>
      </c>
      <c r="C17">
        <v>1</v>
      </c>
      <c r="D17">
        <v>5</v>
      </c>
      <c r="E17">
        <v>15</v>
      </c>
      <c r="F17" s="15">
        <v>2000</v>
      </c>
      <c r="G17" s="16">
        <f>ventas[[#This Row],[cant]]*ventas[[#This Row],[precio]]</f>
        <v>30000</v>
      </c>
      <c r="H17" s="16">
        <f>ventas[[#This Row],[total]]*ventas_iva</f>
        <v>6300</v>
      </c>
      <c r="I17" s="16">
        <f>ventas[[#This Row],[total]]+ventas[[#This Row],[iva]]</f>
        <v>36300</v>
      </c>
    </row>
    <row r="18" spans="2:9" x14ac:dyDescent="0.25">
      <c r="B18" t="s">
        <v>83</v>
      </c>
      <c r="C18">
        <v>4</v>
      </c>
      <c r="D18">
        <v>1</v>
      </c>
      <c r="E18">
        <v>35</v>
      </c>
      <c r="F18" s="15">
        <v>2000</v>
      </c>
      <c r="G18" s="16">
        <f>ventas[[#This Row],[cant]]*ventas[[#This Row],[precio]]</f>
        <v>70000</v>
      </c>
      <c r="H18" s="16">
        <f>ventas[[#This Row],[total]]*ventas_iva</f>
        <v>14700</v>
      </c>
      <c r="I18" s="16">
        <f>ventas[[#This Row],[total]]+ventas[[#This Row],[iva]]</f>
        <v>84700</v>
      </c>
    </row>
    <row r="19" spans="2:9" x14ac:dyDescent="0.25">
      <c r="B19" t="s">
        <v>85</v>
      </c>
      <c r="C19">
        <v>3</v>
      </c>
      <c r="D19">
        <v>2</v>
      </c>
      <c r="E19">
        <v>20</v>
      </c>
      <c r="F19" s="15">
        <v>1500</v>
      </c>
      <c r="G19" s="16">
        <f>ventas[[#This Row],[cant]]*ventas[[#This Row],[precio]]</f>
        <v>30000</v>
      </c>
      <c r="H19" s="16">
        <f>ventas[[#This Row],[total]]*ventas_iva</f>
        <v>6300</v>
      </c>
      <c r="I19" s="16">
        <f>ventas[[#This Row],[total]]+ventas[[#This Row],[iva]]</f>
        <v>36300</v>
      </c>
    </row>
    <row r="20" spans="2:9" x14ac:dyDescent="0.25">
      <c r="B20" t="s">
        <v>86</v>
      </c>
      <c r="C20">
        <v>3</v>
      </c>
      <c r="D20">
        <v>2</v>
      </c>
      <c r="E20">
        <v>25</v>
      </c>
      <c r="F20" s="15">
        <v>1500</v>
      </c>
      <c r="G20" s="16">
        <f>ventas[[#This Row],[cant]]*ventas[[#This Row],[precio]]</f>
        <v>37500</v>
      </c>
      <c r="H20" s="16">
        <f>ventas[[#This Row],[total]]*ventas_iva</f>
        <v>7875</v>
      </c>
      <c r="I20" s="16">
        <f>ventas[[#This Row],[total]]+ventas[[#This Row],[iva]]</f>
        <v>45375</v>
      </c>
    </row>
    <row r="21" spans="2:9" x14ac:dyDescent="0.25">
      <c r="B21" t="s">
        <v>84</v>
      </c>
      <c r="C21">
        <v>2</v>
      </c>
      <c r="D21">
        <v>4</v>
      </c>
      <c r="E21">
        <v>15</v>
      </c>
      <c r="F21" s="15">
        <v>2500</v>
      </c>
      <c r="G21" s="16">
        <f>ventas[[#This Row],[cant]]*ventas[[#This Row],[precio]]</f>
        <v>37500</v>
      </c>
      <c r="H21" s="16">
        <f>ventas[[#This Row],[total]]*ventas_iva</f>
        <v>7875</v>
      </c>
      <c r="I21" s="16">
        <f>ventas[[#This Row],[total]]+ventas[[#This Row],[iva]]</f>
        <v>45375</v>
      </c>
    </row>
    <row r="22" spans="2:9" x14ac:dyDescent="0.25">
      <c r="G22" s="16"/>
      <c r="H22" s="16"/>
      <c r="I22" s="16"/>
    </row>
  </sheetData>
  <phoneticPr fontId="7" type="noConversion"/>
  <conditionalFormatting sqref="I1:I2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{23319C40-4109-4AA5-A26E-54803E67F6CC}</x14:id>
        </ext>
      </extLst>
    </cfRule>
  </conditionalFormatting>
  <conditionalFormatting sqref="I1:I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{7CA0E1FE-9731-4770-BFCB-019043512931}</x14:id>
        </ext>
      </extLst>
    </cfRule>
  </conditionalFormatting>
  <hyperlinks>
    <hyperlink ref="A1" location="menu!A1" display="volver" xr:uid="{9C4DC1BB-67D9-46F5-BFCA-0A1FC377567D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319C40-4109-4AA5-A26E-54803E67F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I1:I21</xm:sqref>
        </x14:conditionalFormatting>
        <x14:conditionalFormatting xmlns:xm="http://schemas.microsoft.com/office/excel/2006/main">
          <x14:cfRule type="dataBar" id="{7CA0E1FE-9731-4770-BFCB-019043512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A1D5-8AB9-4045-A153-9DE89B6E50D5}">
  <dimension ref="A1"/>
  <sheetViews>
    <sheetView zoomScale="115" zoomScaleNormal="115" workbookViewId="0">
      <pane ySplit="1" topLeftCell="A22" activePane="bottomLeft" state="frozen"/>
      <selection pane="bottomLeft" activeCell="F21" sqref="F21"/>
    </sheetView>
  </sheetViews>
  <sheetFormatPr baseColWidth="10" defaultRowHeight="15" x14ac:dyDescent="0.25"/>
  <sheetData>
    <row r="1" spans="1:1" x14ac:dyDescent="0.25">
      <c r="A1" s="3" t="s">
        <v>2</v>
      </c>
    </row>
  </sheetData>
  <hyperlinks>
    <hyperlink ref="A1" location="menu!A1" display="volver" xr:uid="{D750CC5E-44B5-4DA3-B4D7-DC19CA1C266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menu</vt:lpstr>
      <vt:lpstr>empleados</vt:lpstr>
      <vt:lpstr>asistencia</vt:lpstr>
      <vt:lpstr>Hoja1</vt:lpstr>
      <vt:lpstr>productos</vt:lpstr>
      <vt:lpstr>ventas</vt:lpstr>
      <vt:lpstr>estadisticas</vt:lpstr>
      <vt:lpstr>ahora</vt:lpstr>
      <vt:lpstr>ventas_iva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2022-12-14T16:07:31Z</dcterms:created>
  <dcterms:modified xsi:type="dcterms:W3CDTF">2022-12-21T19:02:54Z</dcterms:modified>
</cp:coreProperties>
</file>