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av-j12\"/>
    </mc:Choice>
  </mc:AlternateContent>
  <xr:revisionPtr revIDLastSave="0" documentId="8_{7F9D8CD8-F4B0-40BD-BAB2-A9BE85F8F028}" xr6:coauthVersionLast="47" xr6:coauthVersionMax="47" xr10:uidLastSave="{00000000-0000-0000-0000-000000000000}"/>
  <bookViews>
    <workbookView xWindow="-120" yWindow="-120" windowWidth="20730" windowHeight="11040" activeTab="2" xr2:uid="{BFB0CF28-7797-46CE-98B8-81D14DF3A489}"/>
  </bookViews>
  <sheets>
    <sheet name="clientes" sheetId="1" r:id="rId1"/>
    <sheet name="productos" sheetId="2" r:id="rId2"/>
    <sheet name="ventas" sheetId="3" r:id="rId3"/>
    <sheet name="condicion" sheetId="4" r:id="rId4"/>
  </sheets>
  <definedNames>
    <definedName name="hoy">'clientes'!$P$2</definedName>
    <definedName name="iva">ventas!$N$1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3" l="1"/>
  <c r="N9" i="3"/>
  <c r="O9" i="3" s="1"/>
  <c r="N8" i="3"/>
  <c r="O8" i="3" s="1"/>
  <c r="G3" i="3"/>
  <c r="G18" i="3"/>
  <c r="G4" i="3"/>
  <c r="G14" i="3"/>
  <c r="G8" i="3"/>
  <c r="G21" i="3"/>
  <c r="G27" i="3"/>
  <c r="G25" i="3"/>
  <c r="G19" i="3"/>
  <c r="G17" i="3"/>
  <c r="G15" i="3"/>
  <c r="G12" i="3"/>
  <c r="G9" i="3"/>
  <c r="G5" i="3"/>
  <c r="G6" i="3"/>
  <c r="G20" i="3"/>
  <c r="G23" i="3"/>
  <c r="G29" i="3"/>
  <c r="G31" i="3"/>
  <c r="G30" i="3"/>
  <c r="G28" i="3"/>
  <c r="G24" i="3"/>
  <c r="G26" i="3"/>
  <c r="G10" i="3"/>
  <c r="G22" i="3"/>
  <c r="G16" i="3"/>
  <c r="G13" i="3"/>
  <c r="G2" i="3"/>
  <c r="G7" i="3"/>
  <c r="G11" i="3"/>
  <c r="N7" i="3"/>
  <c r="N6" i="3"/>
  <c r="N8" i="1"/>
  <c r="N9" i="1"/>
  <c r="M2" i="1"/>
  <c r="M3" i="1"/>
  <c r="M4" i="1"/>
  <c r="M5" i="1"/>
  <c r="M6" i="1"/>
  <c r="M7" i="1"/>
  <c r="M8" i="1"/>
  <c r="M9" i="1"/>
  <c r="M10" i="1"/>
  <c r="M11" i="1"/>
  <c r="M12" i="1"/>
  <c r="L2" i="1"/>
  <c r="L3" i="1"/>
  <c r="L4" i="1"/>
  <c r="L5" i="1"/>
  <c r="L6" i="1"/>
  <c r="L7" i="1"/>
  <c r="L8" i="1"/>
  <c r="L9" i="1"/>
  <c r="L10" i="1"/>
  <c r="L11" i="1"/>
  <c r="L12" i="1"/>
  <c r="N5" i="3"/>
  <c r="O5" i="3" s="1"/>
  <c r="N4" i="3"/>
  <c r="H27" i="3"/>
  <c r="H25" i="3"/>
  <c r="I25" i="3" s="1"/>
  <c r="H19" i="3"/>
  <c r="I19" i="3" s="1"/>
  <c r="H17" i="3"/>
  <c r="I17" i="3" s="1"/>
  <c r="H15" i="3"/>
  <c r="I15" i="3" s="1"/>
  <c r="J15" i="3" s="1"/>
  <c r="H12" i="3"/>
  <c r="I12" i="3" s="1"/>
  <c r="H9" i="3"/>
  <c r="I9" i="3" s="1"/>
  <c r="H5" i="3"/>
  <c r="I5" i="3" s="1"/>
  <c r="H6" i="3"/>
  <c r="I6" i="3" s="1"/>
  <c r="H20" i="3"/>
  <c r="I20" i="3" s="1"/>
  <c r="H23" i="3"/>
  <c r="I23" i="3" s="1"/>
  <c r="H29" i="3"/>
  <c r="I29" i="3" s="1"/>
  <c r="H31" i="3"/>
  <c r="I31" i="3" s="1"/>
  <c r="H30" i="3"/>
  <c r="I30" i="3" s="1"/>
  <c r="N12" i="1" s="1"/>
  <c r="H28" i="3"/>
  <c r="I28" i="3" s="1"/>
  <c r="H24" i="3"/>
  <c r="I24" i="3" s="1"/>
  <c r="H26" i="3"/>
  <c r="H10" i="3"/>
  <c r="I10" i="3" s="1"/>
  <c r="H22" i="3"/>
  <c r="I22" i="3" s="1"/>
  <c r="N7" i="1" s="1"/>
  <c r="H16" i="3"/>
  <c r="I16" i="3" s="1"/>
  <c r="H13" i="3"/>
  <c r="I13" i="3" s="1"/>
  <c r="J13" i="3" s="1"/>
  <c r="H2" i="3"/>
  <c r="I2" i="3" s="1"/>
  <c r="H7" i="3"/>
  <c r="I7" i="3" s="1"/>
  <c r="H11" i="3"/>
  <c r="I11" i="3" s="1"/>
  <c r="N4" i="1" s="1"/>
  <c r="F10" i="2"/>
  <c r="E2" i="2"/>
  <c r="D27" i="3"/>
  <c r="D25" i="3"/>
  <c r="D19" i="3"/>
  <c r="D17" i="3"/>
  <c r="D15" i="3"/>
  <c r="D12" i="3"/>
  <c r="D9" i="3"/>
  <c r="D5" i="3"/>
  <c r="D6" i="3"/>
  <c r="D20" i="3"/>
  <c r="D23" i="3"/>
  <c r="D29" i="3"/>
  <c r="D31" i="3"/>
  <c r="D30" i="3"/>
  <c r="D28" i="3"/>
  <c r="D24" i="3"/>
  <c r="D26" i="3"/>
  <c r="D10" i="3"/>
  <c r="D22" i="3"/>
  <c r="D16" i="3"/>
  <c r="D13" i="3"/>
  <c r="D2" i="3"/>
  <c r="D7" i="3"/>
  <c r="D11" i="3"/>
  <c r="C15" i="3"/>
  <c r="C12" i="3"/>
  <c r="C9" i="3"/>
  <c r="C5" i="3"/>
  <c r="C6" i="3"/>
  <c r="C20" i="3"/>
  <c r="C23" i="3"/>
  <c r="C29" i="3"/>
  <c r="C31" i="3"/>
  <c r="C30" i="3"/>
  <c r="C28" i="3"/>
  <c r="C24" i="3"/>
  <c r="C26" i="3"/>
  <c r="C10" i="3"/>
  <c r="C22" i="3"/>
  <c r="C16" i="3"/>
  <c r="C13" i="3"/>
  <c r="C2" i="3"/>
  <c r="C7" i="3"/>
  <c r="C11" i="3"/>
  <c r="I26" i="3"/>
  <c r="J26" i="3" s="1"/>
  <c r="C17" i="3"/>
  <c r="C19" i="3"/>
  <c r="C25" i="3"/>
  <c r="C27" i="3"/>
  <c r="I27" i="3"/>
  <c r="J27" i="3" s="1"/>
  <c r="K27" i="3" s="1"/>
  <c r="H4" i="3"/>
  <c r="I4" i="3" s="1"/>
  <c r="J4" i="3" s="1"/>
  <c r="K4" i="3" s="1"/>
  <c r="H14" i="3"/>
  <c r="I14" i="3" s="1"/>
  <c r="J14" i="3" s="1"/>
  <c r="K14" i="3" s="1"/>
  <c r="H8" i="3"/>
  <c r="I8" i="3" s="1"/>
  <c r="J8" i="3" s="1"/>
  <c r="K8" i="3" s="1"/>
  <c r="H21" i="3"/>
  <c r="I21" i="3" s="1"/>
  <c r="J21" i="3" s="1"/>
  <c r="K21" i="3" s="1"/>
  <c r="E3" i="2"/>
  <c r="E4" i="2"/>
  <c r="E5" i="2"/>
  <c r="E6" i="2"/>
  <c r="E7" i="2"/>
  <c r="E8" i="2"/>
  <c r="E9" i="2"/>
  <c r="E10" i="2"/>
  <c r="E11" i="2"/>
  <c r="E12" i="2"/>
  <c r="E13" i="2"/>
  <c r="E14" i="2"/>
  <c r="H3" i="3"/>
  <c r="I3" i="3" s="1"/>
  <c r="J3" i="3" s="1"/>
  <c r="H18" i="3"/>
  <c r="I18" i="3" s="1"/>
  <c r="J18" i="3" s="1"/>
  <c r="K18" i="3" s="1"/>
  <c r="D4" i="3"/>
  <c r="D14" i="3"/>
  <c r="D8" i="3"/>
  <c r="D21" i="3"/>
  <c r="D18" i="3"/>
  <c r="D3" i="3"/>
  <c r="C3" i="3"/>
  <c r="C18" i="3"/>
  <c r="C4" i="3"/>
  <c r="C14" i="3"/>
  <c r="C8" i="3"/>
  <c r="C21" i="3"/>
  <c r="G12" i="1"/>
  <c r="G11" i="1"/>
  <c r="G5" i="1"/>
  <c r="G9" i="1"/>
  <c r="G10" i="1"/>
  <c r="G6" i="1"/>
  <c r="G3" i="1"/>
  <c r="G2" i="1"/>
  <c r="G8" i="1"/>
  <c r="G7" i="1"/>
  <c r="G4" i="1"/>
  <c r="F12" i="1"/>
  <c r="F2" i="1"/>
  <c r="F3" i="1"/>
  <c r="F4" i="1"/>
  <c r="F5" i="1"/>
  <c r="F6" i="1"/>
  <c r="F7" i="1"/>
  <c r="F8" i="1"/>
  <c r="F9" i="1"/>
  <c r="F10" i="1"/>
  <c r="F11" i="1"/>
  <c r="P2" i="1"/>
  <c r="H3" i="1" s="1"/>
  <c r="F14" i="2" l="1"/>
  <c r="J31" i="3"/>
  <c r="K31" i="3" s="1"/>
  <c r="K26" i="3"/>
  <c r="N3" i="1"/>
  <c r="J19" i="3"/>
  <c r="K19" i="3" s="1"/>
  <c r="N11" i="1"/>
  <c r="J6" i="3"/>
  <c r="K6" i="3" s="1"/>
  <c r="K13" i="3"/>
  <c r="K15" i="3"/>
  <c r="N10" i="1"/>
  <c r="N6" i="1"/>
  <c r="N2" i="1"/>
  <c r="N5" i="1"/>
  <c r="J16" i="3"/>
  <c r="K16" i="3" s="1"/>
  <c r="J29" i="3"/>
  <c r="K29" i="3" s="1"/>
  <c r="F12" i="2"/>
  <c r="J17" i="3"/>
  <c r="K17" i="3" s="1"/>
  <c r="F5" i="2"/>
  <c r="J7" i="3"/>
  <c r="K7" i="3" s="1"/>
  <c r="J22" i="3"/>
  <c r="K22" i="3" s="1"/>
  <c r="J28" i="3"/>
  <c r="K28" i="3" s="1"/>
  <c r="F7" i="2"/>
  <c r="J23" i="3"/>
  <c r="K23" i="3" s="1"/>
  <c r="J9" i="3"/>
  <c r="K9" i="3" s="1"/>
  <c r="J2" i="3"/>
  <c r="K2" i="3" s="1"/>
  <c r="J10" i="3"/>
  <c r="K10" i="3" s="1"/>
  <c r="F13" i="2"/>
  <c r="J30" i="3"/>
  <c r="K30" i="3" s="1"/>
  <c r="J20" i="3"/>
  <c r="K20" i="3" s="1"/>
  <c r="J12" i="3"/>
  <c r="K12" i="3" s="1"/>
  <c r="J25" i="3"/>
  <c r="K25" i="3" s="1"/>
  <c r="F9" i="2"/>
  <c r="J11" i="3"/>
  <c r="K11" i="3" s="1"/>
  <c r="F8" i="2"/>
  <c r="J24" i="3"/>
  <c r="K24" i="3" s="1"/>
  <c r="J5" i="3"/>
  <c r="K5" i="3" s="1"/>
  <c r="F11" i="2"/>
  <c r="F6" i="2"/>
  <c r="F4" i="2"/>
  <c r="F3" i="2"/>
  <c r="F2" i="2"/>
  <c r="K3" i="3"/>
  <c r="H12" i="1"/>
  <c r="H8" i="1"/>
  <c r="H4" i="1"/>
  <c r="H10" i="1"/>
  <c r="H6" i="1"/>
  <c r="H9" i="1"/>
  <c r="H5" i="1"/>
  <c r="H11" i="1"/>
  <c r="H7" i="1"/>
  <c r="H2" i="1"/>
  <c r="N3" i="3" l="1"/>
</calcChain>
</file>

<file path=xl/sharedStrings.xml><?xml version="1.0" encoding="utf-8"?>
<sst xmlns="http://schemas.openxmlformats.org/spreadsheetml/2006/main" count="150" uniqueCount="125">
  <si>
    <t>codigo</t>
  </si>
  <si>
    <t>apellido</t>
  </si>
  <si>
    <t>nombre</t>
  </si>
  <si>
    <t>cuil</t>
  </si>
  <si>
    <t>nacimiento</t>
  </si>
  <si>
    <t>edad</t>
  </si>
  <si>
    <t>direccion</t>
  </si>
  <si>
    <t>localidad</t>
  </si>
  <si>
    <t>telefono</t>
  </si>
  <si>
    <t>racedo</t>
  </si>
  <si>
    <t>cristian</t>
  </si>
  <si>
    <t>sucasa 123</t>
  </si>
  <si>
    <t>glew</t>
  </si>
  <si>
    <t>20-35336446-5</t>
  </si>
  <si>
    <t>hoy</t>
  </si>
  <si>
    <t>abel</t>
  </si>
  <si>
    <t>20-38885460-5</t>
  </si>
  <si>
    <t>sanchez</t>
  </si>
  <si>
    <t>gomez</t>
  </si>
  <si>
    <t>lopez</t>
  </si>
  <si>
    <t>ramirez</t>
  </si>
  <si>
    <t>gutierrez</t>
  </si>
  <si>
    <t>gimenez</t>
  </si>
  <si>
    <t>sofia</t>
  </si>
  <si>
    <t>gabriel</t>
  </si>
  <si>
    <t>luciana</t>
  </si>
  <si>
    <t>raquel</t>
  </si>
  <si>
    <t>ramiro</t>
  </si>
  <si>
    <t>gerardo</t>
  </si>
  <si>
    <t>graciela</t>
  </si>
  <si>
    <t>ignacio</t>
  </si>
  <si>
    <t>27-27381823-7</t>
  </si>
  <si>
    <t>20-92918234-3</t>
  </si>
  <si>
    <t>27-12834917-4</t>
  </si>
  <si>
    <t>27-43892348-2</t>
  </si>
  <si>
    <t>20-28309239-1</t>
  </si>
  <si>
    <t>20-38109230-5</t>
  </si>
  <si>
    <t>27-24759283-8</t>
  </si>
  <si>
    <t>20-85495939-1</t>
  </si>
  <si>
    <t>documento</t>
  </si>
  <si>
    <t>g</t>
  </si>
  <si>
    <t>20-82491289-1</t>
  </si>
  <si>
    <t>lomas de zamora</t>
  </si>
  <si>
    <t>banfield</t>
  </si>
  <si>
    <t>caba</t>
  </si>
  <si>
    <t>lanus</t>
  </si>
  <si>
    <t>la matanza</t>
  </si>
  <si>
    <t>ituzaingo</t>
  </si>
  <si>
    <t>cliente</t>
  </si>
  <si>
    <t>remito</t>
  </si>
  <si>
    <t>producto</t>
  </si>
  <si>
    <t>precio</t>
  </si>
  <si>
    <t>total</t>
  </si>
  <si>
    <t>iva</t>
  </si>
  <si>
    <t>a-001</t>
  </si>
  <si>
    <t>a-002</t>
  </si>
  <si>
    <t>a-003</t>
  </si>
  <si>
    <t>a-004</t>
  </si>
  <si>
    <t>a-005</t>
  </si>
  <si>
    <t>a-006</t>
  </si>
  <si>
    <t>final</t>
  </si>
  <si>
    <t>recaudacion</t>
  </si>
  <si>
    <t>Y</t>
  </si>
  <si>
    <t>O</t>
  </si>
  <si>
    <t>c1V</t>
  </si>
  <si>
    <t>c1F</t>
  </si>
  <si>
    <t>c2F</t>
  </si>
  <si>
    <t>c2V</t>
  </si>
  <si>
    <t>F</t>
  </si>
  <si>
    <t>V</t>
  </si>
  <si>
    <t>id</t>
  </si>
  <si>
    <t>Bebidas</t>
  </si>
  <si>
    <t>Víveres</t>
  </si>
  <si>
    <t>Carnes</t>
  </si>
  <si>
    <t>Verduras</t>
  </si>
  <si>
    <t>Productos Lácteos</t>
  </si>
  <si>
    <t>stock</t>
  </si>
  <si>
    <t>vendido</t>
  </si>
  <si>
    <t>identificacion</t>
  </si>
  <si>
    <t>Frutas</t>
  </si>
  <si>
    <t>Muebles</t>
  </si>
  <si>
    <t>Monitores</t>
  </si>
  <si>
    <t>Gabinetes</t>
  </si>
  <si>
    <t>Modulares</t>
  </si>
  <si>
    <t>Automoviles</t>
  </si>
  <si>
    <t>Harinas</t>
  </si>
  <si>
    <t>Pastas</t>
  </si>
  <si>
    <t>recaudado</t>
  </si>
  <si>
    <t>a-007</t>
  </si>
  <si>
    <t>a-008</t>
  </si>
  <si>
    <t>a-009</t>
  </si>
  <si>
    <t>a-010</t>
  </si>
  <si>
    <t>a-011</t>
  </si>
  <si>
    <t>a-012</t>
  </si>
  <si>
    <t>a-013</t>
  </si>
  <si>
    <t>a-014</t>
  </si>
  <si>
    <t>a-015</t>
  </si>
  <si>
    <t>a-016</t>
  </si>
  <si>
    <t>a-017</t>
  </si>
  <si>
    <t>a-018</t>
  </si>
  <si>
    <t>a-019</t>
  </si>
  <si>
    <t>a-020</t>
  </si>
  <si>
    <t>a-021</t>
  </si>
  <si>
    <t>a-022</t>
  </si>
  <si>
    <t>a-023</t>
  </si>
  <si>
    <t>a-024</t>
  </si>
  <si>
    <t>a-025</t>
  </si>
  <si>
    <t>a-026</t>
  </si>
  <si>
    <t>a-027</t>
  </si>
  <si>
    <t>a-028</t>
  </si>
  <si>
    <t>a-029</t>
  </si>
  <si>
    <t>a-030</t>
  </si>
  <si>
    <t>cant</t>
  </si>
  <si>
    <t>art</t>
  </si>
  <si>
    <t>ventas</t>
  </si>
  <si>
    <t>cliente del mes</t>
  </si>
  <si>
    <t>compras</t>
  </si>
  <si>
    <t>articulos</t>
  </si>
  <si>
    <t>gastos</t>
  </si>
  <si>
    <t>compra minima</t>
  </si>
  <si>
    <t>compra maxima</t>
  </si>
  <si>
    <t>articulo mas vendido</t>
  </si>
  <si>
    <t>articulo menos vendido</t>
  </si>
  <si>
    <t>condicion</t>
  </si>
  <si>
    <t>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</si>
</sst>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164" fontId="0" fillId="0" borderId="0" xfId="0" applyNumberFormat="1"/>
    <xf numFmtId="43" fontId="0" fillId="0" borderId="0" xfId="1" applyFont="1" applyAlignment="1">
      <alignment horizontal="right"/>
    </xf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9" fontId="0" fillId="0" borderId="0" xfId="0" applyNumberFormat="1"/>
    <xf numFmtId="44" fontId="0" fillId="0" borderId="0" xfId="2" applyFont="1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NumberFormat="1"/>
    <xf numFmtId="0" fontId="3" fillId="5" borderId="0" xfId="0" applyFont="1" applyFill="1" applyBorder="1"/>
    <xf numFmtId="0" fontId="0" fillId="0" borderId="0" xfId="1" applyNumberFormat="1" applyFont="1"/>
    <xf numFmtId="1" fontId="0" fillId="0" borderId="0" xfId="0" applyNumberFormat="1" applyAlignment="1">
      <alignment horizontal="center"/>
    </xf>
    <xf numFmtId="0" fontId="0" fillId="0" borderId="0" xfId="0" applyBorder="1"/>
    <xf numFmtId="0" fontId="3" fillId="0" borderId="2" xfId="0" applyFont="1" applyFill="1" applyBorder="1"/>
    <xf numFmtId="0" fontId="3" fillId="0" borderId="3" xfId="0" applyFont="1" applyFill="1" applyBorder="1"/>
    <xf numFmtId="0" fontId="0" fillId="0" borderId="2" xfId="0" applyFill="1" applyBorder="1"/>
    <xf numFmtId="44" fontId="0" fillId="0" borderId="3" xfId="2" applyFont="1" applyFill="1" applyBorder="1"/>
    <xf numFmtId="0" fontId="0" fillId="0" borderId="4" xfId="0" applyFill="1" applyBorder="1"/>
    <xf numFmtId="44" fontId="0" fillId="0" borderId="5" xfId="2" applyFont="1" applyFill="1" applyBorder="1"/>
    <xf numFmtId="0" fontId="0" fillId="0" borderId="0" xfId="0" applyFill="1"/>
    <xf numFmtId="1" fontId="0" fillId="0" borderId="0" xfId="0" applyNumberFormat="1"/>
    <xf numFmtId="44" fontId="3" fillId="5" borderId="6" xfId="2" applyFont="1" applyFill="1" applyBorder="1"/>
    <xf numFmtId="166" fontId="0" fillId="0" borderId="0" xfId="1" applyNumberFormat="1" applyFont="1"/>
  </cellXfs>
  <cellStyles count="3">
    <cellStyle name="Millares" xfId="1" builtinId="3"/>
    <cellStyle name="Moneda" xfId="2" builtinId="4"/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34" formatCode="_-&quot;$&quot;\ * #,##0.00_-;\-&quot;$&quot;\ * #,##0.00_-;_-&quot;$&quot;\ * &quot;-&quot;??_-;_-@_-"/>
    </dxf>
    <dxf>
      <numFmt numFmtId="166" formatCode="_-* #,##0_-;\-* #,##0_-;_-* &quot;-&quot;??_-;_-@_-"/>
    </dxf>
    <dxf>
      <alignment horizontal="center" vertical="bottom" textRotation="0" wrapText="0" indent="0" justifyLastLine="0" shrinkToFit="0" readingOrder="0"/>
    </dxf>
    <dxf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0" formatCode="General"/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64" formatCode="0.0"/>
    </dxf>
    <dxf>
      <alignment horizontal="right" vertical="bottom" textRotation="0" wrapText="0" indent="0" justifyLastLine="0" shrinkToFit="0" readingOrder="0"/>
    </dxf>
    <dxf>
      <numFmt numFmtId="19" formatCode="d/m/yyyy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CEABC2-7360-40F7-A276-B10AC9350DC7}" name="clientes" displayName="clientes" ref="A1:N12" totalsRowShown="0">
  <autoFilter ref="A1:N12" xr:uid="{67CEABC2-7360-40F7-A276-B10AC9350DC7}"/>
  <sortState xmlns:xlrd2="http://schemas.microsoft.com/office/spreadsheetml/2017/richdata2" ref="A2:K12">
    <sortCondition ref="A1:A12"/>
  </sortState>
  <tableColumns count="14">
    <tableColumn id="1" xr3:uid="{5F4F4898-BF98-4C96-928F-25613FE445C3}" name="codigo"/>
    <tableColumn id="2" xr3:uid="{F9786D07-A25E-46C4-8F4C-B1F74B14B6B7}" name="apellido"/>
    <tableColumn id="3" xr3:uid="{FCCC3292-CE00-46E4-99EF-A7B83DE3E0D4}" name="nombre"/>
    <tableColumn id="4" xr3:uid="{FC499D72-DF7E-4830-BC33-62AA7AA4E98D}" name="cuil"/>
    <tableColumn id="5" xr3:uid="{B4AA7946-4A8E-4BD2-ACD2-0F203177260B}" name="nacimiento" dataDxfId="20"/>
    <tableColumn id="13" xr3:uid="{BAEFA1B4-2343-469D-9B64-5970EFC08CDD}" name="g" dataDxfId="19">
      <calculatedColumnFormula>LEFT(clientes[[#This Row],[cuil]],2)</calculatedColumnFormula>
    </tableColumn>
    <tableColumn id="15" xr3:uid="{84DE9DBC-2D64-4B7C-8C7D-9559321338F2}" name="documento" dataDxfId="18" dataCellStyle="Millares">
      <calculatedColumnFormula>MID(clientes[[#This Row],[cuil]],4,8)</calculatedColumnFormula>
    </tableColumn>
    <tableColumn id="6" xr3:uid="{3CFA528C-5846-49FA-BE4E-FBBD381023D2}" name="edad" dataDxfId="17">
      <calculatedColumnFormula>(hoy-E2)/365</calculatedColumnFormula>
    </tableColumn>
    <tableColumn id="7" xr3:uid="{BFE4F650-E152-4B99-A905-3D8E7294215D}" name="direccion"/>
    <tableColumn id="8" xr3:uid="{588966A8-0EED-4620-8E40-A23F5136FC0F}" name="localidad"/>
    <tableColumn id="9" xr3:uid="{9F6CA625-7D9B-4362-96A0-C1AD7B4BC154}" name="telefono"/>
    <tableColumn id="10" xr3:uid="{B64FC09A-B066-4B9E-8F34-B019F420AE28}" name="compras" dataDxfId="2">
      <calculatedColumnFormula>COUNTIF(ventas[cliente],clientes[[#This Row],[codigo]])</calculatedColumnFormula>
    </tableColumn>
    <tableColumn id="11" xr3:uid="{D490ABFE-1392-4278-905F-A5A3370FC760}" name="articulos" dataDxfId="1">
      <calculatedColumnFormula>SUMIF(ventas[cliente],clientes[[#This Row],[codigo]],ventas[cant])</calculatedColumnFormula>
    </tableColumn>
    <tableColumn id="12" xr3:uid="{95945192-27E5-4CCA-A1C5-945DD020CCFE}" name="gastos" dataCellStyle="Moneda">
      <calculatedColumnFormula>SUMIF(ventas[cliente],clientes[[#This Row],[codigo]],ventas[total])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76B205-AD9B-4722-BAFB-7F6EBCB6C0D2}" name="articulos" displayName="articulos" ref="A1:F14" totalsRowShown="0" headerRowDxfId="16" tableBorderDxfId="15">
  <autoFilter ref="A1:F14" xr:uid="{B576B205-AD9B-4722-BAFB-7F6EBCB6C0D2}"/>
  <sortState xmlns:xlrd2="http://schemas.microsoft.com/office/spreadsheetml/2017/richdata2" ref="A2:E14">
    <sortCondition ref="A1:A14"/>
  </sortState>
  <tableColumns count="6">
    <tableColumn id="1" xr3:uid="{F58E7C4A-A7EC-4429-96E6-F28D037EBCB8}" name="id" dataDxfId="9"/>
    <tableColumn id="2" xr3:uid="{D2440142-4537-4313-812B-CAEBA8AB4F25}" name="producto" dataDxfId="10"/>
    <tableColumn id="3" xr3:uid="{BAD69A3D-7698-4EA0-A319-E137946ABD97}" name="precio" dataDxfId="8" dataCellStyle="Moneda"/>
    <tableColumn id="4" xr3:uid="{0406DA2C-1ED9-4590-A8DF-83746DD6FDB6}" name="stock" dataDxfId="6"/>
    <tableColumn id="5" xr3:uid="{46FCF387-EAD9-4FAD-ABCF-071E8F00968B}" name="vendido" dataDxfId="7">
      <calculatedColumnFormula>SUMIF(ventas[art],articulos[[#This Row],[id]],ventas[cant])</calculatedColumnFormula>
    </tableColumn>
    <tableColumn id="7" xr3:uid="{7EE7D304-C6D9-410D-835A-CECF99260BC2}" name="recaudado" dataDxfId="3" dataCellStyle="Moneda">
      <calculatedColumnFormula>SUMIF(ventas[art],articulos[[#This Row],[id]],ventas[total])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EA19E0-CEAE-4074-B6C7-1B54832DE3C7}" name="ventas" displayName="ventas" ref="A1:K31" totalsRowShown="0">
  <autoFilter ref="A1:K31" xr:uid="{2CEA19E0-CEAE-4074-B6C7-1B54832DE3C7}"/>
  <sortState xmlns:xlrd2="http://schemas.microsoft.com/office/spreadsheetml/2017/richdata2" ref="A2:K31">
    <sortCondition ref="E1:E31"/>
  </sortState>
  <tableColumns count="11">
    <tableColumn id="1" xr3:uid="{F08D01A5-4598-4E78-8A06-8025E55FD07E}" name="remito"/>
    <tableColumn id="2" xr3:uid="{E5E33F78-9134-4C96-AD10-FD25F17F61FE}" name="cliente"/>
    <tableColumn id="9" xr3:uid="{B0912C86-6446-4927-83EB-B21AF2AC68C6}" name="identificacion" dataDxfId="14">
      <calculatedColumnFormula>_xlfn.CONCAT(VLOOKUP(ventas[[#This Row],[cliente]],clientes[],2)&amp;" "&amp;VLOOKUP(ventas[[#This Row],[cliente]],clientes[],3))</calculatedColumnFormula>
    </tableColumn>
    <tableColumn id="11" xr3:uid="{B4A2966A-2CED-4D1F-AAD9-1C09C4B0498B}" name="cuil" dataDxfId="5"/>
    <tableColumn id="3" xr3:uid="{764F3563-2814-4A1B-84CE-A518C7A31212}" name="art" dataDxfId="4" dataCellStyle="Millares"/>
    <tableColumn id="4" xr3:uid="{E3627B31-CD0F-4A50-8D59-023859B36094}" name="cant"/>
    <tableColumn id="12" xr3:uid="{2D5BE966-664A-421E-A03E-0DBD1FEB202C}" name="producto" dataDxfId="0">
      <calculatedColumnFormula>VLOOKUP(ventas[[#This Row],[art]],articulos[],2)</calculatedColumnFormula>
    </tableColumn>
    <tableColumn id="5" xr3:uid="{E6C40B31-E999-40C0-98A2-3C887EB25A28}" name="precio" dataCellStyle="Moneda"/>
    <tableColumn id="6" xr3:uid="{4E9D6CA3-5455-41CF-A268-8848AC3AF925}" name="total" dataDxfId="13">
      <calculatedColumnFormula>ventas[[#This Row],[cant]]*ventas[[#This Row],[precio]]</calculatedColumnFormula>
    </tableColumn>
    <tableColumn id="7" xr3:uid="{6833DC81-2A88-4BBC-814B-405FA5232053}" name="iva" dataDxfId="12">
      <calculatedColumnFormula>ventas[[#This Row],[total]]*iva</calculatedColumnFormula>
    </tableColumn>
    <tableColumn id="8" xr3:uid="{281C7C37-2C29-4E25-9506-14BF43E34C46}" name="final" dataDxfId="11">
      <calculatedColumnFormula>SUM(ventas[[#This Row],[total]],ventas[[#This Row],[iva]])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9176-A1DD-40DC-9461-B95CAF9AA49B}">
  <dimension ref="A1:P12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9" sqref="N9"/>
    </sheetView>
  </sheetViews>
  <sheetFormatPr baseColWidth="10" defaultRowHeight="15" x14ac:dyDescent="0.25"/>
  <cols>
    <col min="4" max="4" width="14.7109375" bestFit="1" customWidth="1"/>
    <col min="5" max="5" width="13.28515625" bestFit="1" customWidth="1"/>
    <col min="6" max="6" width="4.28515625" bestFit="1" customWidth="1"/>
    <col min="7" max="7" width="13.42578125" bestFit="1" customWidth="1"/>
    <col min="8" max="8" width="7.7109375" bestFit="1" customWidth="1"/>
    <col min="10" max="10" width="15.85546875" bestFit="1" customWidth="1"/>
    <col min="11" max="11" width="11.140625" bestFit="1" customWidth="1"/>
    <col min="12" max="12" width="10.7109375" bestFit="1" customWidth="1"/>
    <col min="13" max="13" width="10.85546875" bestFit="1" customWidth="1"/>
    <col min="14" max="14" width="15.5703125" style="8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</v>
      </c>
      <c r="G1" t="s">
        <v>39</v>
      </c>
      <c r="H1" t="s">
        <v>5</v>
      </c>
      <c r="I1" t="s">
        <v>6</v>
      </c>
      <c r="J1" t="s">
        <v>7</v>
      </c>
      <c r="K1" t="s">
        <v>8</v>
      </c>
      <c r="L1" t="s">
        <v>116</v>
      </c>
      <c r="M1" t="s">
        <v>117</v>
      </c>
      <c r="N1" s="8" t="s">
        <v>118</v>
      </c>
      <c r="P1" t="s">
        <v>14</v>
      </c>
    </row>
    <row r="2" spans="1:16" x14ac:dyDescent="0.25">
      <c r="A2">
        <v>1</v>
      </c>
      <c r="B2" t="s">
        <v>9</v>
      </c>
      <c r="C2" t="s">
        <v>10</v>
      </c>
      <c r="D2" s="15" t="s">
        <v>13</v>
      </c>
      <c r="E2" s="4">
        <v>33346</v>
      </c>
      <c r="F2" s="1" t="str">
        <f>LEFT(clientes[[#This Row],[cuil]],2)</f>
        <v>20</v>
      </c>
      <c r="G2" s="3" t="str">
        <f>MID(clientes[[#This Row],[cuil]],4,8)</f>
        <v>35336446</v>
      </c>
      <c r="H2" s="2">
        <f t="shared" ref="H2:H12" ca="1" si="0">(hoy-E2)/365</f>
        <v>31.643835616438356</v>
      </c>
      <c r="I2" t="s">
        <v>11</v>
      </c>
      <c r="J2" t="s">
        <v>12</v>
      </c>
      <c r="K2">
        <v>110303456</v>
      </c>
      <c r="L2">
        <f>COUNTIF(ventas[cliente],clientes[[#This Row],[codigo]])</f>
        <v>6</v>
      </c>
      <c r="M2">
        <f>SUMIF(ventas[cliente],clientes[[#This Row],[codigo]],ventas[cant])</f>
        <v>40</v>
      </c>
      <c r="N2" s="8">
        <f>SUMIF(ventas[cliente],clientes[[#This Row],[codigo]],ventas[total])</f>
        <v>6334000</v>
      </c>
      <c r="P2" s="1">
        <f ca="1">TODAY()</f>
        <v>44896</v>
      </c>
    </row>
    <row r="3" spans="1:16" x14ac:dyDescent="0.25">
      <c r="A3">
        <v>2</v>
      </c>
      <c r="B3" t="s">
        <v>9</v>
      </c>
      <c r="C3" t="s">
        <v>15</v>
      </c>
      <c r="D3" t="s">
        <v>16</v>
      </c>
      <c r="E3" s="4">
        <v>34254</v>
      </c>
      <c r="F3" s="1" t="str">
        <f>LEFT(clientes[[#This Row],[cuil]],2)</f>
        <v>20</v>
      </c>
      <c r="G3" s="3" t="str">
        <f>MID(clientes[[#This Row],[cuil]],4,8)</f>
        <v>38885460</v>
      </c>
      <c r="H3" s="2">
        <f t="shared" ca="1" si="0"/>
        <v>29.156164383561645</v>
      </c>
      <c r="J3" t="s">
        <v>42</v>
      </c>
      <c r="L3">
        <f>COUNTIF(ventas[cliente],clientes[[#This Row],[codigo]])</f>
        <v>5</v>
      </c>
      <c r="M3">
        <f>SUMIF(ventas[cliente],clientes[[#This Row],[codigo]],ventas[cant])</f>
        <v>12</v>
      </c>
      <c r="N3" s="8">
        <f>SUMIF(ventas[cliente],clientes[[#This Row],[codigo]],ventas[total])</f>
        <v>140500</v>
      </c>
    </row>
    <row r="4" spans="1:16" x14ac:dyDescent="0.25">
      <c r="A4">
        <v>3</v>
      </c>
      <c r="B4" t="s">
        <v>17</v>
      </c>
      <c r="C4" t="s">
        <v>23</v>
      </c>
      <c r="D4" t="s">
        <v>31</v>
      </c>
      <c r="E4" s="5">
        <v>25758</v>
      </c>
      <c r="F4" s="1" t="str">
        <f>LEFT(clientes[[#This Row],[cuil]],2)</f>
        <v>27</v>
      </c>
      <c r="G4" s="3" t="str">
        <f>MID(clientes[[#This Row],[cuil]],4,8)</f>
        <v>27381823</v>
      </c>
      <c r="H4" s="2">
        <f t="shared" ca="1" si="0"/>
        <v>52.43287671232877</v>
      </c>
      <c r="J4" t="s">
        <v>12</v>
      </c>
      <c r="L4">
        <f>COUNTIF(ventas[cliente],clientes[[#This Row],[codigo]])</f>
        <v>1</v>
      </c>
      <c r="M4">
        <f>SUMIF(ventas[cliente],clientes[[#This Row],[codigo]],ventas[cant])</f>
        <v>7</v>
      </c>
      <c r="N4" s="8">
        <f>SUMIF(ventas[cliente],clientes[[#This Row],[codigo]],ventas[total])</f>
        <v>315000</v>
      </c>
    </row>
    <row r="5" spans="1:16" x14ac:dyDescent="0.25">
      <c r="A5">
        <v>4</v>
      </c>
      <c r="B5" t="s">
        <v>18</v>
      </c>
      <c r="C5" t="s">
        <v>24</v>
      </c>
      <c r="D5" t="s">
        <v>32</v>
      </c>
      <c r="E5" s="5">
        <v>27905</v>
      </c>
      <c r="F5" s="1" t="str">
        <f>LEFT(clientes[[#This Row],[cuil]],2)</f>
        <v>20</v>
      </c>
      <c r="G5" s="3" t="str">
        <f>MID(clientes[[#This Row],[cuil]],4,8)</f>
        <v>92918234</v>
      </c>
      <c r="H5" s="2">
        <f t="shared" ca="1" si="0"/>
        <v>46.550684931506851</v>
      </c>
      <c r="J5" t="s">
        <v>44</v>
      </c>
      <c r="L5">
        <f>COUNTIF(ventas[cliente],clientes[[#This Row],[codigo]])</f>
        <v>3</v>
      </c>
      <c r="M5">
        <f>SUMIF(ventas[cliente],clientes[[#This Row],[codigo]],ventas[cant])</f>
        <v>10</v>
      </c>
      <c r="N5" s="8">
        <f>SUMIF(ventas[cliente],clientes[[#This Row],[codigo]],ventas[total])</f>
        <v>190000</v>
      </c>
    </row>
    <row r="6" spans="1:16" x14ac:dyDescent="0.25">
      <c r="A6">
        <v>5</v>
      </c>
      <c r="B6" t="s">
        <v>19</v>
      </c>
      <c r="C6" t="s">
        <v>25</v>
      </c>
      <c r="D6" t="s">
        <v>33</v>
      </c>
      <c r="E6" s="5">
        <v>11324</v>
      </c>
      <c r="F6" s="1" t="str">
        <f>LEFT(clientes[[#This Row],[cuil]],2)</f>
        <v>27</v>
      </c>
      <c r="G6" s="3" t="str">
        <f>MID(clientes[[#This Row],[cuil]],4,8)</f>
        <v>12834917</v>
      </c>
      <c r="H6" s="2">
        <f t="shared" ca="1" si="0"/>
        <v>91.978082191780828</v>
      </c>
      <c r="J6" t="s">
        <v>42</v>
      </c>
      <c r="L6">
        <f>COUNTIF(ventas[cliente],clientes[[#This Row],[codigo]])</f>
        <v>7</v>
      </c>
      <c r="M6">
        <f>SUMIF(ventas[cliente],clientes[[#This Row],[codigo]],ventas[cant])</f>
        <v>21</v>
      </c>
      <c r="N6" s="8">
        <f>SUMIF(ventas[cliente],clientes[[#This Row],[codigo]],ventas[total])</f>
        <v>7213800</v>
      </c>
    </row>
    <row r="7" spans="1:16" x14ac:dyDescent="0.25">
      <c r="A7">
        <v>6</v>
      </c>
      <c r="B7" t="s">
        <v>20</v>
      </c>
      <c r="C7" t="s">
        <v>26</v>
      </c>
      <c r="D7" t="s">
        <v>34</v>
      </c>
      <c r="E7" s="6">
        <v>37987</v>
      </c>
      <c r="F7" s="1" t="str">
        <f>LEFT(clientes[[#This Row],[cuil]],2)</f>
        <v>27</v>
      </c>
      <c r="G7" s="3" t="str">
        <f>MID(clientes[[#This Row],[cuil]],4,8)</f>
        <v>43892348</v>
      </c>
      <c r="H7" s="2">
        <f t="shared" ca="1" si="0"/>
        <v>18.92876712328767</v>
      </c>
      <c r="J7" t="s">
        <v>46</v>
      </c>
      <c r="L7">
        <f>COUNTIF(ventas[cliente],clientes[[#This Row],[codigo]])</f>
        <v>1</v>
      </c>
      <c r="M7">
        <f>SUMIF(ventas[cliente],clientes[[#This Row],[codigo]],ventas[cant])</f>
        <v>1</v>
      </c>
      <c r="N7" s="8">
        <f>SUMIF(ventas[cliente],clientes[[#This Row],[codigo]],ventas[total])</f>
        <v>8500</v>
      </c>
    </row>
    <row r="8" spans="1:16" x14ac:dyDescent="0.25">
      <c r="A8">
        <v>7</v>
      </c>
      <c r="B8" t="s">
        <v>20</v>
      </c>
      <c r="C8" t="s">
        <v>27</v>
      </c>
      <c r="D8" t="s">
        <v>35</v>
      </c>
      <c r="E8" s="5">
        <v>31613</v>
      </c>
      <c r="F8" s="1" t="str">
        <f>LEFT(clientes[[#This Row],[cuil]],2)</f>
        <v>20</v>
      </c>
      <c r="G8" s="3" t="str">
        <f>MID(clientes[[#This Row],[cuil]],4,8)</f>
        <v>28309239</v>
      </c>
      <c r="H8" s="2">
        <f t="shared" ca="1" si="0"/>
        <v>36.391780821917806</v>
      </c>
      <c r="J8" t="s">
        <v>43</v>
      </c>
      <c r="L8">
        <f>COUNTIF(ventas[cliente],clientes[[#This Row],[codigo]])</f>
        <v>0</v>
      </c>
      <c r="M8">
        <f>SUMIF(ventas[cliente],clientes[[#This Row],[codigo]],ventas[cant])</f>
        <v>0</v>
      </c>
      <c r="N8" s="8">
        <f>SUMIF(ventas[cliente],clientes[[#This Row],[codigo]],ventas[total])</f>
        <v>0</v>
      </c>
    </row>
    <row r="9" spans="1:16" x14ac:dyDescent="0.25">
      <c r="A9">
        <v>8</v>
      </c>
      <c r="B9" t="s">
        <v>18</v>
      </c>
      <c r="C9" t="s">
        <v>28</v>
      </c>
      <c r="D9" t="s">
        <v>36</v>
      </c>
      <c r="E9" s="4">
        <v>35124</v>
      </c>
      <c r="F9" s="1" t="str">
        <f>LEFT(clientes[[#This Row],[cuil]],2)</f>
        <v>20</v>
      </c>
      <c r="G9" s="3" t="str">
        <f>MID(clientes[[#This Row],[cuil]],4,8)</f>
        <v>38109230</v>
      </c>
      <c r="H9" s="2">
        <f t="shared" ca="1" si="0"/>
        <v>26.772602739726029</v>
      </c>
      <c r="J9" t="s">
        <v>43</v>
      </c>
      <c r="L9">
        <f>COUNTIF(ventas[cliente],clientes[[#This Row],[codigo]])</f>
        <v>0</v>
      </c>
      <c r="M9">
        <f>SUMIF(ventas[cliente],clientes[[#This Row],[codigo]],ventas[cant])</f>
        <v>0</v>
      </c>
      <c r="N9" s="8">
        <f>SUMIF(ventas[cliente],clientes[[#This Row],[codigo]],ventas[total])</f>
        <v>0</v>
      </c>
    </row>
    <row r="10" spans="1:16" x14ac:dyDescent="0.25">
      <c r="A10">
        <v>9</v>
      </c>
      <c r="B10" t="s">
        <v>21</v>
      </c>
      <c r="C10" t="s">
        <v>29</v>
      </c>
      <c r="D10" t="s">
        <v>37</v>
      </c>
      <c r="E10" s="5">
        <v>25427</v>
      </c>
      <c r="F10" s="1" t="str">
        <f>LEFT(clientes[[#This Row],[cuil]],2)</f>
        <v>27</v>
      </c>
      <c r="G10" s="3" t="str">
        <f>MID(clientes[[#This Row],[cuil]],4,8)</f>
        <v>24759283</v>
      </c>
      <c r="H10" s="2">
        <f t="shared" ca="1" si="0"/>
        <v>53.339726027397262</v>
      </c>
      <c r="J10" t="s">
        <v>44</v>
      </c>
      <c r="L10">
        <f>COUNTIF(ventas[cliente],clientes[[#This Row],[codigo]])</f>
        <v>1</v>
      </c>
      <c r="M10">
        <f>SUMIF(ventas[cliente],clientes[[#This Row],[codigo]],ventas[cant])</f>
        <v>1</v>
      </c>
      <c r="N10" s="8">
        <f>SUMIF(ventas[cliente],clientes[[#This Row],[codigo]],ventas[total])</f>
        <v>56000</v>
      </c>
    </row>
    <row r="11" spans="1:16" x14ac:dyDescent="0.25">
      <c r="A11">
        <v>10</v>
      </c>
      <c r="B11" t="s">
        <v>22</v>
      </c>
      <c r="C11" t="s">
        <v>30</v>
      </c>
      <c r="D11" t="s">
        <v>38</v>
      </c>
      <c r="E11" s="6">
        <v>37149</v>
      </c>
      <c r="F11" s="1" t="str">
        <f>LEFT(clientes[[#This Row],[cuil]],2)</f>
        <v>20</v>
      </c>
      <c r="G11" s="3" t="str">
        <f>MID(clientes[[#This Row],[cuil]],4,8)</f>
        <v>85495939</v>
      </c>
      <c r="H11" s="2">
        <f t="shared" ca="1" si="0"/>
        <v>21.224657534246575</v>
      </c>
      <c r="J11" t="s">
        <v>47</v>
      </c>
      <c r="L11">
        <f>COUNTIF(ventas[cliente],clientes[[#This Row],[codigo]])</f>
        <v>5</v>
      </c>
      <c r="M11">
        <f>SUMIF(ventas[cliente],clientes[[#This Row],[codigo]],ventas[cant])</f>
        <v>12</v>
      </c>
      <c r="N11" s="8">
        <f>SUMIF(ventas[cliente],clientes[[#This Row],[codigo]],ventas[total])</f>
        <v>346300</v>
      </c>
    </row>
    <row r="12" spans="1:16" x14ac:dyDescent="0.25">
      <c r="A12">
        <v>11</v>
      </c>
      <c r="B12" t="s">
        <v>22</v>
      </c>
      <c r="C12" t="s">
        <v>30</v>
      </c>
      <c r="D12" t="s">
        <v>41</v>
      </c>
      <c r="E12" s="4">
        <v>36086</v>
      </c>
      <c r="F12" s="1" t="str">
        <f>LEFT(clientes[[#This Row],[cuil]],2)</f>
        <v>20</v>
      </c>
      <c r="G12" s="3" t="str">
        <f>MID(clientes[[#This Row],[cuil]],4,8)</f>
        <v>82491289</v>
      </c>
      <c r="H12" s="2">
        <f t="shared" ca="1" si="0"/>
        <v>24.136986301369863</v>
      </c>
      <c r="J12" t="s">
        <v>45</v>
      </c>
      <c r="L12">
        <f>COUNTIF(ventas[cliente],clientes[[#This Row],[codigo]])</f>
        <v>1</v>
      </c>
      <c r="M12">
        <f>SUMIF(ventas[cliente],clientes[[#This Row],[codigo]],ventas[cant])</f>
        <v>3</v>
      </c>
      <c r="N12" s="8">
        <f>SUMIF(ventas[cliente],clientes[[#This Row],[codigo]],ventas[total])</f>
        <v>15000</v>
      </c>
    </row>
  </sheetData>
  <dataValidations count="2">
    <dataValidation type="date" allowBlank="1" showInputMessage="1" showErrorMessage="1" sqref="E1:E1048576" xr:uid="{37C5F857-5A25-4346-8B05-D8E7CB24C157}">
      <formula1>10959</formula1>
      <formula2>37987</formula2>
    </dataValidation>
    <dataValidation type="decimal" allowBlank="1" showInputMessage="1" showErrorMessage="1" errorTitle="Edad incorrecta" error="La edad debe ser un numero valido entre 18 y 100, incluyendo decimales" promptTitle="Edades Validas" prompt="La edad del cliente expresada en años debe ser mayor a 18 y menor a 100" sqref="H1:H1048576" xr:uid="{9015AA82-9B9C-4B98-BBAF-A166AAECC0E9}">
      <formula1>18</formula1>
      <formula2>100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5B50E-C0AF-4663-8F44-BD4EF7258344}">
  <dimension ref="A1:F14"/>
  <sheetViews>
    <sheetView topLeftCell="A25" zoomScale="130" zoomScaleNormal="130" workbookViewId="0">
      <selection activeCell="F2" sqref="F2"/>
    </sheetView>
  </sheetViews>
  <sheetFormatPr baseColWidth="10" defaultRowHeight="15" x14ac:dyDescent="0.25"/>
  <cols>
    <col min="1" max="1" width="4" style="24" customWidth="1"/>
    <col min="2" max="2" width="17" style="24" bestFit="1" customWidth="1"/>
    <col min="3" max="3" width="15.42578125" style="24" bestFit="1" customWidth="1"/>
    <col min="5" max="5" width="10.5703125" bestFit="1" customWidth="1"/>
    <col min="6" max="6" width="15.42578125" style="8" bestFit="1" customWidth="1"/>
  </cols>
  <sheetData>
    <row r="1" spans="1:6" x14ac:dyDescent="0.25">
      <c r="A1" s="18" t="s">
        <v>70</v>
      </c>
      <c r="B1" s="18" t="s">
        <v>50</v>
      </c>
      <c r="C1" s="19" t="s">
        <v>51</v>
      </c>
      <c r="D1" s="14" t="s">
        <v>76</v>
      </c>
      <c r="E1" s="14" t="s">
        <v>77</v>
      </c>
      <c r="F1" s="26" t="s">
        <v>87</v>
      </c>
    </row>
    <row r="2" spans="1:6" x14ac:dyDescent="0.25">
      <c r="A2" s="20">
        <v>1</v>
      </c>
      <c r="B2" s="20" t="s">
        <v>71</v>
      </c>
      <c r="C2" s="21">
        <v>5000</v>
      </c>
      <c r="D2" s="25">
        <v>293847</v>
      </c>
      <c r="E2">
        <f>SUMIF(ventas[art],articulos[[#This Row],[id]],ventas[cant])</f>
        <v>15</v>
      </c>
      <c r="F2" s="8">
        <f>SUMIF(ventas[art],articulos[[#This Row],[id]],ventas[total])</f>
        <v>75000</v>
      </c>
    </row>
    <row r="3" spans="1:6" x14ac:dyDescent="0.25">
      <c r="A3" s="20">
        <v>2</v>
      </c>
      <c r="B3" s="20" t="s">
        <v>72</v>
      </c>
      <c r="C3" s="21">
        <v>25000</v>
      </c>
      <c r="D3" s="25">
        <v>1037821.8</v>
      </c>
      <c r="E3">
        <f>SUMIF(ventas[art],articulos[[#This Row],[id]],ventas[cant])</f>
        <v>9</v>
      </c>
      <c r="F3" s="8">
        <f>SUMIF(ventas[art],articulos[[#This Row],[id]],ventas[total])</f>
        <v>225000</v>
      </c>
    </row>
    <row r="4" spans="1:6" x14ac:dyDescent="0.25">
      <c r="A4" s="20">
        <v>3</v>
      </c>
      <c r="B4" s="20" t="s">
        <v>73</v>
      </c>
      <c r="C4" s="21">
        <v>45000</v>
      </c>
      <c r="D4" s="25">
        <v>1110669.5</v>
      </c>
      <c r="E4">
        <f>SUMIF(ventas[art],articulos[[#This Row],[id]],ventas[cant])</f>
        <v>17</v>
      </c>
      <c r="F4" s="8">
        <f>SUMIF(ventas[art],articulos[[#This Row],[id]],ventas[total])</f>
        <v>765000</v>
      </c>
    </row>
    <row r="5" spans="1:6" x14ac:dyDescent="0.25">
      <c r="A5" s="20">
        <v>4</v>
      </c>
      <c r="B5" s="20" t="s">
        <v>74</v>
      </c>
      <c r="C5" s="21">
        <v>15000</v>
      </c>
      <c r="D5" s="25">
        <v>1183517.2</v>
      </c>
      <c r="E5">
        <f>SUMIF(ventas[art],articulos[[#This Row],[id]],ventas[cant])</f>
        <v>14</v>
      </c>
      <c r="F5" s="8">
        <f>SUMIF(ventas[art],articulos[[#This Row],[id]],ventas[total])</f>
        <v>210000</v>
      </c>
    </row>
    <row r="6" spans="1:6" x14ac:dyDescent="0.25">
      <c r="A6" s="20">
        <v>5</v>
      </c>
      <c r="B6" s="20" t="s">
        <v>75</v>
      </c>
      <c r="C6" s="21">
        <v>8500</v>
      </c>
      <c r="D6" s="25">
        <v>290348</v>
      </c>
      <c r="E6">
        <f>SUMIF(ventas[art],articulos[[#This Row],[id]],ventas[cant])</f>
        <v>13</v>
      </c>
      <c r="F6" s="8">
        <f>SUMIF(ventas[art],articulos[[#This Row],[id]],ventas[total])</f>
        <v>110500</v>
      </c>
    </row>
    <row r="7" spans="1:6" x14ac:dyDescent="0.25">
      <c r="A7" s="22">
        <v>6</v>
      </c>
      <c r="B7" s="22" t="s">
        <v>79</v>
      </c>
      <c r="C7" s="23">
        <v>23500</v>
      </c>
      <c r="D7" s="25">
        <v>819278.7</v>
      </c>
      <c r="E7" s="17">
        <f>SUMIF(ventas[art],articulos[[#This Row],[id]],ventas[cant])</f>
        <v>4</v>
      </c>
      <c r="F7" s="8">
        <f>SUMIF(ventas[art],articulos[[#This Row],[id]],ventas[total])</f>
        <v>94000</v>
      </c>
    </row>
    <row r="8" spans="1:6" x14ac:dyDescent="0.25">
      <c r="A8" s="20">
        <v>7</v>
      </c>
      <c r="B8" s="20" t="s">
        <v>80</v>
      </c>
      <c r="C8" s="21">
        <v>120800</v>
      </c>
      <c r="D8" s="25">
        <v>892126.4</v>
      </c>
      <c r="E8">
        <f>SUMIF(ventas[art],articulos[[#This Row],[id]],ventas[cant])</f>
        <v>1</v>
      </c>
      <c r="F8" s="8">
        <f>SUMIF(ventas[art],articulos[[#This Row],[id]],ventas[total])</f>
        <v>120800</v>
      </c>
    </row>
    <row r="9" spans="1:6" x14ac:dyDescent="0.25">
      <c r="A9" s="20">
        <v>8</v>
      </c>
      <c r="B9" s="20" t="s">
        <v>81</v>
      </c>
      <c r="C9" s="21">
        <v>56000</v>
      </c>
      <c r="D9" s="25">
        <v>964974.1</v>
      </c>
      <c r="E9">
        <f>SUMIF(ventas[art],articulos[[#This Row],[id]],ventas[cant])</f>
        <v>2</v>
      </c>
      <c r="F9" s="8">
        <f>SUMIF(ventas[art],articulos[[#This Row],[id]],ventas[total])</f>
        <v>112000</v>
      </c>
    </row>
    <row r="10" spans="1:6" x14ac:dyDescent="0.25">
      <c r="A10" s="20">
        <v>9</v>
      </c>
      <c r="B10" s="20" t="s">
        <v>82</v>
      </c>
      <c r="C10" s="21">
        <v>254800</v>
      </c>
      <c r="D10" s="25">
        <v>192834</v>
      </c>
      <c r="E10">
        <f>SUMIF(ventas[art],articulos[[#This Row],[id]],ventas[cant])</f>
        <v>0</v>
      </c>
      <c r="F10" s="8">
        <f>SUMIF(ventas[art],articulos[[#This Row],[id]],ventas[total])</f>
        <v>0</v>
      </c>
    </row>
    <row r="11" spans="1:6" x14ac:dyDescent="0.25">
      <c r="A11" s="20">
        <v>10</v>
      </c>
      <c r="B11" s="20" t="s">
        <v>83</v>
      </c>
      <c r="C11" s="21">
        <v>300000</v>
      </c>
      <c r="D11" s="25">
        <v>1298340</v>
      </c>
      <c r="E11">
        <f>SUMIF(ventas[art],articulos[[#This Row],[id]],ventas[cant])</f>
        <v>22</v>
      </c>
      <c r="F11" s="8">
        <f>SUMIF(ventas[art],articulos[[#This Row],[id]],ventas[total])</f>
        <v>6600000</v>
      </c>
    </row>
    <row r="12" spans="1:6" x14ac:dyDescent="0.25">
      <c r="A12" s="20">
        <v>11</v>
      </c>
      <c r="B12" s="20" t="s">
        <v>84</v>
      </c>
      <c r="C12" s="21">
        <v>1254360</v>
      </c>
      <c r="D12" s="25">
        <v>928309</v>
      </c>
      <c r="E12">
        <f>SUMIF(ventas[art],articulos[[#This Row],[id]],ventas[cant])</f>
        <v>5</v>
      </c>
      <c r="F12" s="8">
        <f>SUMIF(ventas[art],articulos[[#This Row],[id]],ventas[total])</f>
        <v>6271800</v>
      </c>
    </row>
    <row r="13" spans="1:6" x14ac:dyDescent="0.25">
      <c r="A13" s="22">
        <v>12</v>
      </c>
      <c r="B13" s="20" t="s">
        <v>85</v>
      </c>
      <c r="C13" s="21">
        <v>5000</v>
      </c>
      <c r="D13" s="25">
        <v>1256364.8999999999</v>
      </c>
      <c r="E13">
        <f>SUMIF(ventas[art],articulos[[#This Row],[id]],ventas[cant])</f>
        <v>3</v>
      </c>
      <c r="F13" s="8">
        <f>SUMIF(ventas[art],articulos[[#This Row],[id]],ventas[total])</f>
        <v>15000</v>
      </c>
    </row>
    <row r="14" spans="1:6" x14ac:dyDescent="0.25">
      <c r="A14" s="20">
        <v>13</v>
      </c>
      <c r="B14" s="20" t="s">
        <v>86</v>
      </c>
      <c r="C14" s="21">
        <v>10000</v>
      </c>
      <c r="D14" s="25">
        <v>1329212.6000000001</v>
      </c>
      <c r="E14">
        <f>SUMIF(ventas[art],articulos[[#This Row],[id]],ventas[cant])</f>
        <v>2</v>
      </c>
      <c r="F14" s="8">
        <f>SUMIF(ventas[art],articulos[[#This Row],[id]],ventas[total])</f>
        <v>20000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0D93B-ACC2-4839-99DE-1DE6441724B2}">
  <dimension ref="A1:O31"/>
  <sheetViews>
    <sheetView tabSelected="1" topLeftCell="G1" zoomScale="145" zoomScaleNormal="145" workbookViewId="0">
      <selection activeCell="K3" sqref="K3"/>
    </sheetView>
  </sheetViews>
  <sheetFormatPr baseColWidth="10" defaultRowHeight="15" x14ac:dyDescent="0.25"/>
  <cols>
    <col min="1" max="1" width="9.28515625" bestFit="1" customWidth="1"/>
    <col min="2" max="2" width="9.42578125" bestFit="1" customWidth="1"/>
    <col min="3" max="3" width="15.42578125" bestFit="1" customWidth="1"/>
    <col min="4" max="4" width="14" bestFit="1" customWidth="1"/>
    <col min="5" max="5" width="7.140625" style="27" bestFit="1" customWidth="1"/>
    <col min="6" max="6" width="7" bestFit="1" customWidth="1"/>
    <col min="7" max="7" width="17" bestFit="1" customWidth="1"/>
    <col min="8" max="8" width="14.85546875" bestFit="1" customWidth="1"/>
    <col min="9" max="11" width="16" bestFit="1" customWidth="1"/>
    <col min="12" max="12" width="22.140625" bestFit="1" customWidth="1"/>
    <col min="13" max="14" width="16" bestFit="1" customWidth="1"/>
  </cols>
  <sheetData>
    <row r="1" spans="1:15" x14ac:dyDescent="0.25">
      <c r="A1" t="s">
        <v>49</v>
      </c>
      <c r="B1" t="s">
        <v>48</v>
      </c>
      <c r="C1" t="s">
        <v>78</v>
      </c>
      <c r="D1" t="s">
        <v>3</v>
      </c>
      <c r="E1" s="27" t="s">
        <v>113</v>
      </c>
      <c r="F1" t="s">
        <v>112</v>
      </c>
      <c r="G1" t="s">
        <v>50</v>
      </c>
      <c r="H1" s="8" t="s">
        <v>51</v>
      </c>
      <c r="I1" t="s">
        <v>52</v>
      </c>
      <c r="J1" t="s">
        <v>53</v>
      </c>
      <c r="K1" t="s">
        <v>60</v>
      </c>
      <c r="M1" t="s">
        <v>53</v>
      </c>
      <c r="N1" s="7">
        <v>0.21</v>
      </c>
    </row>
    <row r="2" spans="1:15" x14ac:dyDescent="0.25">
      <c r="A2" t="s">
        <v>109</v>
      </c>
      <c r="B2">
        <v>2</v>
      </c>
      <c r="C2" s="13" t="str">
        <f>_xlfn.CONCAT(VLOOKUP(ventas[[#This Row],[cliente]],clientes[],2)&amp;" "&amp;VLOOKUP(ventas[[#This Row],[cliente]],clientes[],3))</f>
        <v>racedo abel</v>
      </c>
      <c r="D2" s="16" t="str">
        <f>VLOOKUP(ventas[[#This Row],[cliente]],clientes[],4)</f>
        <v>20-38885460-5</v>
      </c>
      <c r="E2" s="27">
        <v>1</v>
      </c>
      <c r="F2">
        <v>6</v>
      </c>
      <c r="G2" t="str">
        <f>VLOOKUP(ventas[[#This Row],[art]],articulos[],2)</f>
        <v>Bebidas</v>
      </c>
      <c r="H2" s="8">
        <f>VLOOKUP(ventas[[#This Row],[art]],articulos[],3)</f>
        <v>5000</v>
      </c>
      <c r="I2" s="9">
        <f>ventas[[#This Row],[cant]]*ventas[[#This Row],[precio]]</f>
        <v>30000</v>
      </c>
      <c r="J2" s="9">
        <f>ventas[[#This Row],[total]]*iva</f>
        <v>6300</v>
      </c>
      <c r="K2" s="9">
        <f>SUM(ventas[[#This Row],[total]],ventas[[#This Row],[iva]])</f>
        <v>36300</v>
      </c>
    </row>
    <row r="3" spans="1:15" x14ac:dyDescent="0.25">
      <c r="A3" t="s">
        <v>54</v>
      </c>
      <c r="B3">
        <v>1</v>
      </c>
      <c r="C3" t="str">
        <f>_xlfn.CONCAT(VLOOKUP(ventas[[#This Row],[cliente]],clientes[],2)&amp;" "&amp;VLOOKUP(ventas[[#This Row],[cliente]],clientes[],3))</f>
        <v>racedo cristian</v>
      </c>
      <c r="D3" s="16" t="str">
        <f>VLOOKUP(ventas[[#This Row],[cliente]],clientes[],4)</f>
        <v>20-35336446-5</v>
      </c>
      <c r="E3" s="27">
        <v>1</v>
      </c>
      <c r="F3">
        <v>3</v>
      </c>
      <c r="G3" t="str">
        <f>VLOOKUP(ventas[[#This Row],[art]],articulos[],2)</f>
        <v>Bebidas</v>
      </c>
      <c r="H3" s="8">
        <f>VLOOKUP(ventas[[#This Row],[art]],articulos[],3)</f>
        <v>5000</v>
      </c>
      <c r="I3" s="9">
        <f>ventas[[#This Row],[cant]]*ventas[[#This Row],[precio]]</f>
        <v>15000</v>
      </c>
      <c r="J3" s="9">
        <f>ventas[[#This Row],[total]]*iva</f>
        <v>3150</v>
      </c>
      <c r="K3" s="9">
        <f>SUM(ventas[[#This Row],[total]],ventas[[#This Row],[iva]])</f>
        <v>18150</v>
      </c>
      <c r="M3" t="s">
        <v>61</v>
      </c>
      <c r="N3" s="9">
        <f>SUM(ventas[final])</f>
        <v>17689111</v>
      </c>
    </row>
    <row r="4" spans="1:15" x14ac:dyDescent="0.25">
      <c r="A4" t="s">
        <v>56</v>
      </c>
      <c r="B4">
        <v>10</v>
      </c>
      <c r="C4" t="str">
        <f>_xlfn.CONCAT(VLOOKUP(ventas[[#This Row],[cliente]],clientes[],2)&amp;" "&amp;VLOOKUP(ventas[[#This Row],[cliente]],clientes[],3))</f>
        <v>gimenez ignacio</v>
      </c>
      <c r="D4" s="16" t="str">
        <f>VLOOKUP(ventas[[#This Row],[cliente]],clientes[],4)</f>
        <v>20-85495939-1</v>
      </c>
      <c r="E4" s="27">
        <v>1</v>
      </c>
      <c r="F4">
        <v>2</v>
      </c>
      <c r="G4" t="str">
        <f>VLOOKUP(ventas[[#This Row],[art]],articulos[],2)</f>
        <v>Bebidas</v>
      </c>
      <c r="H4" s="8">
        <f>VLOOKUP(ventas[[#This Row],[art]],articulos[],3)</f>
        <v>5000</v>
      </c>
      <c r="I4" s="9">
        <f>ventas[[#This Row],[cant]]*ventas[[#This Row],[precio]]</f>
        <v>10000</v>
      </c>
      <c r="J4" s="9">
        <f>ventas[[#This Row],[total]]*iva</f>
        <v>2100</v>
      </c>
      <c r="K4" s="9">
        <f>SUM(ventas[[#This Row],[total]],ventas[[#This Row],[iva]])</f>
        <v>12100</v>
      </c>
      <c r="M4" t="s">
        <v>114</v>
      </c>
      <c r="N4">
        <f>COUNT(ventas[cliente])</f>
        <v>30</v>
      </c>
    </row>
    <row r="5" spans="1:15" x14ac:dyDescent="0.25">
      <c r="A5" t="s">
        <v>95</v>
      </c>
      <c r="B5">
        <v>5</v>
      </c>
      <c r="C5" s="13" t="str">
        <f>_xlfn.CONCAT(VLOOKUP(ventas[[#This Row],[cliente]],clientes[],2)&amp;" "&amp;VLOOKUP(ventas[[#This Row],[cliente]],clientes[],3))</f>
        <v>lopez luciana</v>
      </c>
      <c r="D5" s="16" t="str">
        <f>VLOOKUP(ventas[[#This Row],[cliente]],clientes[],4)</f>
        <v>27-12834917-4</v>
      </c>
      <c r="E5" s="27">
        <v>1</v>
      </c>
      <c r="F5">
        <v>2</v>
      </c>
      <c r="G5" t="str">
        <f>VLOOKUP(ventas[[#This Row],[art]],articulos[],2)</f>
        <v>Bebidas</v>
      </c>
      <c r="H5" s="8">
        <f>VLOOKUP(ventas[[#This Row],[art]],articulos[],3)</f>
        <v>5000</v>
      </c>
      <c r="I5" s="9">
        <f>ventas[[#This Row],[cant]]*ventas[[#This Row],[precio]]</f>
        <v>10000</v>
      </c>
      <c r="J5" s="9">
        <f>ventas[[#This Row],[total]]*iva</f>
        <v>2100</v>
      </c>
      <c r="K5" s="9">
        <f>SUM(ventas[[#This Row],[total]],ventas[[#This Row],[iva]])</f>
        <v>12100</v>
      </c>
      <c r="M5" t="s">
        <v>115</v>
      </c>
      <c r="N5">
        <f>MODE(ventas[cliente])</f>
        <v>5</v>
      </c>
      <c r="O5" t="str">
        <f>VLOOKUP(N5,clientes[],2)</f>
        <v>lopez</v>
      </c>
    </row>
    <row r="6" spans="1:15" x14ac:dyDescent="0.25">
      <c r="A6" t="s">
        <v>96</v>
      </c>
      <c r="B6">
        <v>10</v>
      </c>
      <c r="C6" s="13" t="str">
        <f>_xlfn.CONCAT(VLOOKUP(ventas[[#This Row],[cliente]],clientes[],2)&amp;" "&amp;VLOOKUP(ventas[[#This Row],[cliente]],clientes[],3))</f>
        <v>gimenez ignacio</v>
      </c>
      <c r="D6" s="16" t="str">
        <f>VLOOKUP(ventas[[#This Row],[cliente]],clientes[],4)</f>
        <v>20-85495939-1</v>
      </c>
      <c r="E6" s="27">
        <v>1</v>
      </c>
      <c r="F6">
        <v>2</v>
      </c>
      <c r="G6" t="str">
        <f>VLOOKUP(ventas[[#This Row],[art]],articulos[],2)</f>
        <v>Bebidas</v>
      </c>
      <c r="H6" s="8">
        <f>VLOOKUP(ventas[[#This Row],[art]],articulos[],3)</f>
        <v>5000</v>
      </c>
      <c r="I6" s="9">
        <f>ventas[[#This Row],[cant]]*ventas[[#This Row],[precio]]</f>
        <v>10000</v>
      </c>
      <c r="J6" s="9">
        <f>ventas[[#This Row],[total]]*iva</f>
        <v>2100</v>
      </c>
      <c r="K6" s="9">
        <f>SUM(ventas[[#This Row],[total]],ventas[[#This Row],[iva]])</f>
        <v>12100</v>
      </c>
      <c r="M6" t="s">
        <v>120</v>
      </c>
      <c r="N6">
        <f>MAX(ventas[cant])</f>
        <v>20</v>
      </c>
    </row>
    <row r="7" spans="1:15" x14ac:dyDescent="0.25">
      <c r="A7" t="s">
        <v>110</v>
      </c>
      <c r="B7">
        <v>4</v>
      </c>
      <c r="C7" s="13" t="str">
        <f>_xlfn.CONCAT(VLOOKUP(ventas[[#This Row],[cliente]],clientes[],2)&amp;" "&amp;VLOOKUP(ventas[[#This Row],[cliente]],clientes[],3))</f>
        <v>gomez gabriel</v>
      </c>
      <c r="D7" s="16" t="str">
        <f>VLOOKUP(ventas[[#This Row],[cliente]],clientes[],4)</f>
        <v>20-92918234-3</v>
      </c>
      <c r="E7" s="27">
        <v>2</v>
      </c>
      <c r="F7">
        <v>5</v>
      </c>
      <c r="G7" t="str">
        <f>VLOOKUP(ventas[[#This Row],[art]],articulos[],2)</f>
        <v>Víveres</v>
      </c>
      <c r="H7" s="8">
        <f>VLOOKUP(ventas[[#This Row],[art]],articulos[],3)</f>
        <v>25000</v>
      </c>
      <c r="I7" s="9">
        <f>ventas[[#This Row],[cant]]*ventas[[#This Row],[precio]]</f>
        <v>125000</v>
      </c>
      <c r="J7" s="9">
        <f>ventas[[#This Row],[total]]*iva</f>
        <v>26250</v>
      </c>
      <c r="K7" s="9">
        <f>SUM(ventas[[#This Row],[total]],ventas[[#This Row],[iva]])</f>
        <v>151250</v>
      </c>
      <c r="M7" t="s">
        <v>119</v>
      </c>
      <c r="N7">
        <f>MIN(ventas[cant])</f>
        <v>1</v>
      </c>
    </row>
    <row r="8" spans="1:15" x14ac:dyDescent="0.25">
      <c r="A8" t="s">
        <v>58</v>
      </c>
      <c r="B8">
        <v>1</v>
      </c>
      <c r="C8" t="str">
        <f>_xlfn.CONCAT(VLOOKUP(ventas[[#This Row],[cliente]],clientes[],2)&amp;" "&amp;VLOOKUP(ventas[[#This Row],[cliente]],clientes[],3))</f>
        <v>racedo cristian</v>
      </c>
      <c r="D8" s="16" t="str">
        <f>VLOOKUP(ventas[[#This Row],[cliente]],clientes[],4)</f>
        <v>20-35336446-5</v>
      </c>
      <c r="E8" s="27">
        <v>2</v>
      </c>
      <c r="F8">
        <v>2</v>
      </c>
      <c r="G8" t="str">
        <f>VLOOKUP(ventas[[#This Row],[art]],articulos[],2)</f>
        <v>Víveres</v>
      </c>
      <c r="H8" s="8">
        <f>VLOOKUP(ventas[[#This Row],[art]],articulos[],3)</f>
        <v>25000</v>
      </c>
      <c r="I8" s="9">
        <f>ventas[[#This Row],[cant]]*ventas[[#This Row],[precio]]</f>
        <v>50000</v>
      </c>
      <c r="J8" s="9">
        <f>ventas[[#This Row],[total]]*iva</f>
        <v>10500</v>
      </c>
      <c r="K8" s="9">
        <f>SUM(ventas[[#This Row],[total]],ventas[[#This Row],[iva]])</f>
        <v>60500</v>
      </c>
      <c r="M8" t="s">
        <v>122</v>
      </c>
      <c r="N8">
        <f>VLOOKUP(MIN(ventas[cant]),ventas[[#All],[art]:[cant]],2)</f>
        <v>2</v>
      </c>
      <c r="O8" t="str">
        <f>VLOOKUP(N8,articulos[],2)</f>
        <v>Víveres</v>
      </c>
    </row>
    <row r="9" spans="1:15" x14ac:dyDescent="0.25">
      <c r="A9" t="s">
        <v>94</v>
      </c>
      <c r="B9">
        <v>1</v>
      </c>
      <c r="C9" s="13" t="str">
        <f>_xlfn.CONCAT(VLOOKUP(ventas[[#This Row],[cliente]],clientes[],2)&amp;" "&amp;VLOOKUP(ventas[[#This Row],[cliente]],clientes[],3))</f>
        <v>racedo cristian</v>
      </c>
      <c r="D9" s="16" t="str">
        <f>VLOOKUP(ventas[[#This Row],[cliente]],clientes[],4)</f>
        <v>20-35336446-5</v>
      </c>
      <c r="E9" s="27">
        <v>2</v>
      </c>
      <c r="F9">
        <v>1</v>
      </c>
      <c r="G9" t="str">
        <f>VLOOKUP(ventas[[#This Row],[art]],articulos[],2)</f>
        <v>Víveres</v>
      </c>
      <c r="H9" s="8">
        <f>VLOOKUP(ventas[[#This Row],[art]],articulos[],3)</f>
        <v>25000</v>
      </c>
      <c r="I9" s="9">
        <f>ventas[[#This Row],[cant]]*ventas[[#This Row],[precio]]</f>
        <v>25000</v>
      </c>
      <c r="J9" s="9">
        <f>ventas[[#This Row],[total]]*iva</f>
        <v>5250</v>
      </c>
      <c r="K9" s="9">
        <f>SUM(ventas[[#This Row],[total]],ventas[[#This Row],[iva]])</f>
        <v>30250</v>
      </c>
      <c r="M9" t="s">
        <v>121</v>
      </c>
      <c r="N9">
        <f>VLOOKUP(MAX(ventas[cant]),ventas[[#All],[art]:[cant]],1)</f>
        <v>13</v>
      </c>
      <c r="O9" t="str">
        <f>VLOOKUP(N9,articulos[],2)</f>
        <v>Pastas</v>
      </c>
    </row>
    <row r="10" spans="1:15" x14ac:dyDescent="0.25">
      <c r="A10" t="s">
        <v>105</v>
      </c>
      <c r="B10">
        <v>2</v>
      </c>
      <c r="C10" s="13" t="str">
        <f>_xlfn.CONCAT(VLOOKUP(ventas[[#This Row],[cliente]],clientes[],2)&amp;" "&amp;VLOOKUP(ventas[[#This Row],[cliente]],clientes[],3))</f>
        <v>racedo abel</v>
      </c>
      <c r="D10" s="16" t="str">
        <f>VLOOKUP(ventas[[#This Row],[cliente]],clientes[],4)</f>
        <v>20-38885460-5</v>
      </c>
      <c r="E10" s="27">
        <v>2</v>
      </c>
      <c r="F10">
        <v>1</v>
      </c>
      <c r="G10" t="str">
        <f>VLOOKUP(ventas[[#This Row],[art]],articulos[],2)</f>
        <v>Víveres</v>
      </c>
      <c r="H10" s="8">
        <f>VLOOKUP(ventas[[#This Row],[art]],articulos[],3)</f>
        <v>25000</v>
      </c>
      <c r="I10" s="9">
        <f>ventas[[#This Row],[cant]]*ventas[[#This Row],[precio]]</f>
        <v>25000</v>
      </c>
      <c r="J10" s="9">
        <f>ventas[[#This Row],[total]]*iva</f>
        <v>5250</v>
      </c>
      <c r="K10" s="9">
        <f>SUM(ventas[[#This Row],[total]],ventas[[#This Row],[iva]])</f>
        <v>30250</v>
      </c>
    </row>
    <row r="11" spans="1:15" x14ac:dyDescent="0.25">
      <c r="A11" t="s">
        <v>111</v>
      </c>
      <c r="B11">
        <v>3</v>
      </c>
      <c r="C11" s="13" t="str">
        <f>_xlfn.CONCAT(VLOOKUP(ventas[[#This Row],[cliente]],clientes[],2)&amp;" "&amp;VLOOKUP(ventas[[#This Row],[cliente]],clientes[],3))</f>
        <v>sanchez sofia</v>
      </c>
      <c r="D11" s="16" t="str">
        <f>VLOOKUP(ventas[[#This Row],[cliente]],clientes[],4)</f>
        <v>27-27381823-7</v>
      </c>
      <c r="E11" s="27">
        <v>3</v>
      </c>
      <c r="F11">
        <v>7</v>
      </c>
      <c r="G11" t="str">
        <f>VLOOKUP(ventas[[#This Row],[art]],articulos[],2)</f>
        <v>Carnes</v>
      </c>
      <c r="H11" s="8">
        <f>VLOOKUP(ventas[[#This Row],[art]],articulos[],3)</f>
        <v>45000</v>
      </c>
      <c r="I11" s="9">
        <f>ventas[[#This Row],[cant]]*ventas[[#This Row],[precio]]</f>
        <v>315000</v>
      </c>
      <c r="J11" s="9">
        <f>ventas[[#This Row],[total]]*iva</f>
        <v>66150</v>
      </c>
      <c r="K11" s="9">
        <f>SUM(ventas[[#This Row],[total]],ventas[[#This Row],[iva]])</f>
        <v>381150</v>
      </c>
      <c r="N11" t="s">
        <v>51</v>
      </c>
      <c r="O11" t="s">
        <v>112</v>
      </c>
    </row>
    <row r="12" spans="1:15" x14ac:dyDescent="0.25">
      <c r="A12" t="s">
        <v>93</v>
      </c>
      <c r="B12">
        <v>5</v>
      </c>
      <c r="C12" s="13" t="str">
        <f>_xlfn.CONCAT(VLOOKUP(ventas[[#This Row],[cliente]],clientes[],2)&amp;" "&amp;VLOOKUP(ventas[[#This Row],[cliente]],clientes[],3))</f>
        <v>lopez luciana</v>
      </c>
      <c r="D12" s="16" t="str">
        <f>VLOOKUP(ventas[[#This Row],[cliente]],clientes[],4)</f>
        <v>27-12834917-4</v>
      </c>
      <c r="E12" s="27">
        <v>3</v>
      </c>
      <c r="F12">
        <v>5</v>
      </c>
      <c r="G12" t="str">
        <f>VLOOKUP(ventas[[#This Row],[art]],articulos[],2)</f>
        <v>Carnes</v>
      </c>
      <c r="H12" s="8">
        <f>VLOOKUP(ventas[[#This Row],[art]],articulos[],3)</f>
        <v>45000</v>
      </c>
      <c r="I12" s="9">
        <f>ventas[[#This Row],[cant]]*ventas[[#This Row],[precio]]</f>
        <v>225000</v>
      </c>
      <c r="J12" s="9">
        <f>ventas[[#This Row],[total]]*iva</f>
        <v>47250</v>
      </c>
      <c r="K12" s="9">
        <f>SUM(ventas[[#This Row],[total]],ventas[[#This Row],[iva]])</f>
        <v>272250</v>
      </c>
      <c r="M12" t="s">
        <v>123</v>
      </c>
      <c r="N12" s="8">
        <v>5000</v>
      </c>
      <c r="O12">
        <v>3</v>
      </c>
    </row>
    <row r="13" spans="1:15" x14ac:dyDescent="0.25">
      <c r="A13" t="s">
        <v>108</v>
      </c>
      <c r="B13">
        <v>10</v>
      </c>
      <c r="C13" s="13" t="str">
        <f>_xlfn.CONCAT(VLOOKUP(ventas[[#This Row],[cliente]],clientes[],2)&amp;" "&amp;VLOOKUP(ventas[[#This Row],[cliente]],clientes[],3))</f>
        <v>gimenez ignacio</v>
      </c>
      <c r="D13" s="16" t="str">
        <f>VLOOKUP(ventas[[#This Row],[cliente]],clientes[],4)</f>
        <v>20-85495939-1</v>
      </c>
      <c r="E13" s="27">
        <v>3</v>
      </c>
      <c r="F13">
        <v>4</v>
      </c>
      <c r="G13" t="str">
        <f>VLOOKUP(ventas[[#This Row],[art]],articulos[],2)</f>
        <v>Carnes</v>
      </c>
      <c r="H13" s="8">
        <f>VLOOKUP(ventas[[#This Row],[art]],articulos[],3)</f>
        <v>45000</v>
      </c>
      <c r="I13" s="9">
        <f>ventas[[#This Row],[cant]]*ventas[[#This Row],[precio]]</f>
        <v>180000</v>
      </c>
      <c r="J13" s="9">
        <f>ventas[[#This Row],[total]]*iva</f>
        <v>37800</v>
      </c>
      <c r="K13" s="9">
        <f>SUM(ventas[[#This Row],[total]],ventas[[#This Row],[iva]])</f>
        <v>217800</v>
      </c>
      <c r="M13" t="s">
        <v>124</v>
      </c>
      <c r="N13" t="e">
        <f>DMAX(ventas[],N11,N12)</f>
        <v>#VALUE!</v>
      </c>
    </row>
    <row r="14" spans="1:15" x14ac:dyDescent="0.25">
      <c r="A14" t="s">
        <v>57</v>
      </c>
      <c r="B14">
        <v>2</v>
      </c>
      <c r="C14" t="str">
        <f>_xlfn.CONCAT(VLOOKUP(ventas[[#This Row],[cliente]],clientes[],2)&amp;" "&amp;VLOOKUP(ventas[[#This Row],[cliente]],clientes[],3))</f>
        <v>racedo abel</v>
      </c>
      <c r="D14" s="16" t="str">
        <f>VLOOKUP(ventas[[#This Row],[cliente]],clientes[],4)</f>
        <v>20-38885460-5</v>
      </c>
      <c r="E14" s="27">
        <v>3</v>
      </c>
      <c r="F14">
        <v>1</v>
      </c>
      <c r="G14" t="str">
        <f>VLOOKUP(ventas[[#This Row],[art]],articulos[],2)</f>
        <v>Carnes</v>
      </c>
      <c r="H14" s="8">
        <f>VLOOKUP(ventas[[#This Row],[art]],articulos[],3)</f>
        <v>45000</v>
      </c>
      <c r="I14" s="9">
        <f>ventas[[#This Row],[cant]]*ventas[[#This Row],[precio]]</f>
        <v>45000</v>
      </c>
      <c r="J14" s="9">
        <f>ventas[[#This Row],[total]]*iva</f>
        <v>9450</v>
      </c>
      <c r="K14" s="9">
        <f>SUM(ventas[[#This Row],[total]],ventas[[#This Row],[iva]])</f>
        <v>54450</v>
      </c>
    </row>
    <row r="15" spans="1:15" x14ac:dyDescent="0.25">
      <c r="A15" t="s">
        <v>92</v>
      </c>
      <c r="B15">
        <v>1</v>
      </c>
      <c r="C15" s="13" t="str">
        <f>_xlfn.CONCAT(VLOOKUP(ventas[[#This Row],[cliente]],clientes[],2)&amp;" "&amp;VLOOKUP(ventas[[#This Row],[cliente]],clientes[],3))</f>
        <v>racedo cristian</v>
      </c>
      <c r="D15" s="16" t="str">
        <f>VLOOKUP(ventas[[#This Row],[cliente]],clientes[],4)</f>
        <v>20-35336446-5</v>
      </c>
      <c r="E15" s="27">
        <v>4</v>
      </c>
      <c r="F15">
        <v>10</v>
      </c>
      <c r="G15" t="str">
        <f>VLOOKUP(ventas[[#This Row],[art]],articulos[],2)</f>
        <v>Verduras</v>
      </c>
      <c r="H15" s="8">
        <f>VLOOKUP(ventas[[#This Row],[art]],articulos[],3)</f>
        <v>15000</v>
      </c>
      <c r="I15" s="9">
        <f>ventas[[#This Row],[cant]]*ventas[[#This Row],[precio]]</f>
        <v>150000</v>
      </c>
      <c r="J15" s="9">
        <f>ventas[[#This Row],[total]]*iva</f>
        <v>31500</v>
      </c>
      <c r="K15" s="9">
        <f>SUM(ventas[[#This Row],[total]],ventas[[#This Row],[iva]])</f>
        <v>181500</v>
      </c>
    </row>
    <row r="16" spans="1:15" x14ac:dyDescent="0.25">
      <c r="A16" t="s">
        <v>107</v>
      </c>
      <c r="B16">
        <v>4</v>
      </c>
      <c r="C16" s="13" t="str">
        <f>_xlfn.CONCAT(VLOOKUP(ventas[[#This Row],[cliente]],clientes[],2)&amp;" "&amp;VLOOKUP(ventas[[#This Row],[cliente]],clientes[],3))</f>
        <v>gomez gabriel</v>
      </c>
      <c r="D16" s="16" t="str">
        <f>VLOOKUP(ventas[[#This Row],[cliente]],clientes[],4)</f>
        <v>20-92918234-3</v>
      </c>
      <c r="E16" s="27">
        <v>4</v>
      </c>
      <c r="F16">
        <v>3</v>
      </c>
      <c r="G16" t="str">
        <f>VLOOKUP(ventas[[#This Row],[art]],articulos[],2)</f>
        <v>Verduras</v>
      </c>
      <c r="H16" s="8">
        <f>VLOOKUP(ventas[[#This Row],[art]],articulos[],3)</f>
        <v>15000</v>
      </c>
      <c r="I16" s="9">
        <f>ventas[[#This Row],[cant]]*ventas[[#This Row],[precio]]</f>
        <v>45000</v>
      </c>
      <c r="J16" s="9">
        <f>ventas[[#This Row],[total]]*iva</f>
        <v>9450</v>
      </c>
      <c r="K16" s="9">
        <f>SUM(ventas[[#This Row],[total]],ventas[[#This Row],[iva]])</f>
        <v>54450</v>
      </c>
    </row>
    <row r="17" spans="1:11" x14ac:dyDescent="0.25">
      <c r="A17" t="s">
        <v>91</v>
      </c>
      <c r="B17">
        <v>2</v>
      </c>
      <c r="C17" s="13" t="str">
        <f>_xlfn.CONCAT(VLOOKUP(ventas[[#This Row],[cliente]],clientes[],2)&amp;" "&amp;VLOOKUP(ventas[[#This Row],[cliente]],clientes[],3))</f>
        <v>racedo abel</v>
      </c>
      <c r="D17" s="16" t="str">
        <f>VLOOKUP(ventas[[#This Row],[cliente]],clientes[],4)</f>
        <v>20-38885460-5</v>
      </c>
      <c r="E17" s="27">
        <v>4</v>
      </c>
      <c r="F17">
        <v>1</v>
      </c>
      <c r="G17" t="str">
        <f>VLOOKUP(ventas[[#This Row],[art]],articulos[],2)</f>
        <v>Verduras</v>
      </c>
      <c r="H17" s="8">
        <f>VLOOKUP(ventas[[#This Row],[art]],articulos[],3)</f>
        <v>15000</v>
      </c>
      <c r="I17" s="9">
        <f>ventas[[#This Row],[cant]]*ventas[[#This Row],[precio]]</f>
        <v>15000</v>
      </c>
      <c r="J17" s="9">
        <f>ventas[[#This Row],[total]]*iva</f>
        <v>3150</v>
      </c>
      <c r="K17" s="9">
        <f>SUM(ventas[[#This Row],[total]],ventas[[#This Row],[iva]])</f>
        <v>18150</v>
      </c>
    </row>
    <row r="18" spans="1:11" x14ac:dyDescent="0.25">
      <c r="A18" t="s">
        <v>55</v>
      </c>
      <c r="B18">
        <v>5</v>
      </c>
      <c r="C18" t="str">
        <f>_xlfn.CONCAT(VLOOKUP(ventas[[#This Row],[cliente]],clientes[],2)&amp;" "&amp;VLOOKUP(ventas[[#This Row],[cliente]],clientes[],3))</f>
        <v>lopez luciana</v>
      </c>
      <c r="D18" s="16" t="str">
        <f>VLOOKUP(ventas[[#This Row],[cliente]],clientes[],4)</f>
        <v>27-12834917-4</v>
      </c>
      <c r="E18" s="27">
        <v>5</v>
      </c>
      <c r="F18">
        <v>4</v>
      </c>
      <c r="G18" t="str">
        <f>VLOOKUP(ventas[[#This Row],[art]],articulos[],2)</f>
        <v>Productos Lácteos</v>
      </c>
      <c r="H18" s="8">
        <f>VLOOKUP(ventas[[#This Row],[art]],articulos[],3)</f>
        <v>8500</v>
      </c>
      <c r="I18" s="9">
        <f>ventas[[#This Row],[cant]]*ventas[[#This Row],[precio]]</f>
        <v>34000</v>
      </c>
      <c r="J18" s="9">
        <f>ventas[[#This Row],[total]]*iva</f>
        <v>7140</v>
      </c>
      <c r="K18" s="9">
        <f>SUM(ventas[[#This Row],[total]],ventas[[#This Row],[iva]])</f>
        <v>41140</v>
      </c>
    </row>
    <row r="19" spans="1:11" x14ac:dyDescent="0.25">
      <c r="A19" t="s">
        <v>90</v>
      </c>
      <c r="B19">
        <v>10</v>
      </c>
      <c r="C19" s="13" t="str">
        <f>_xlfn.CONCAT(VLOOKUP(ventas[[#This Row],[cliente]],clientes[],2)&amp;" "&amp;VLOOKUP(ventas[[#This Row],[cliente]],clientes[],3))</f>
        <v>gimenez ignacio</v>
      </c>
      <c r="D19" s="16" t="str">
        <f>VLOOKUP(ventas[[#This Row],[cliente]],clientes[],4)</f>
        <v>20-85495939-1</v>
      </c>
      <c r="E19" s="27">
        <v>5</v>
      </c>
      <c r="F19">
        <v>3</v>
      </c>
      <c r="G19" t="str">
        <f>VLOOKUP(ventas[[#This Row],[art]],articulos[],2)</f>
        <v>Productos Lácteos</v>
      </c>
      <c r="H19" s="8">
        <f>VLOOKUP(ventas[[#This Row],[art]],articulos[],3)</f>
        <v>8500</v>
      </c>
      <c r="I19" s="9">
        <f>ventas[[#This Row],[cant]]*ventas[[#This Row],[precio]]</f>
        <v>25500</v>
      </c>
      <c r="J19" s="9">
        <f>ventas[[#This Row],[total]]*iva</f>
        <v>5355</v>
      </c>
      <c r="K19" s="9">
        <f>SUM(ventas[[#This Row],[total]],ventas[[#This Row],[iva]])</f>
        <v>30855</v>
      </c>
    </row>
    <row r="20" spans="1:11" x14ac:dyDescent="0.25">
      <c r="A20" t="s">
        <v>97</v>
      </c>
      <c r="B20">
        <v>2</v>
      </c>
      <c r="C20" s="13" t="str">
        <f>_xlfn.CONCAT(VLOOKUP(ventas[[#This Row],[cliente]],clientes[],2)&amp;" "&amp;VLOOKUP(ventas[[#This Row],[cliente]],clientes[],3))</f>
        <v>racedo abel</v>
      </c>
      <c r="D20" s="16" t="str">
        <f>VLOOKUP(ventas[[#This Row],[cliente]],clientes[],4)</f>
        <v>20-38885460-5</v>
      </c>
      <c r="E20" s="27">
        <v>5</v>
      </c>
      <c r="F20">
        <v>3</v>
      </c>
      <c r="G20" t="str">
        <f>VLOOKUP(ventas[[#This Row],[art]],articulos[],2)</f>
        <v>Productos Lácteos</v>
      </c>
      <c r="H20" s="8">
        <f>VLOOKUP(ventas[[#This Row],[art]],articulos[],3)</f>
        <v>8500</v>
      </c>
      <c r="I20" s="9">
        <f>ventas[[#This Row],[cant]]*ventas[[#This Row],[precio]]</f>
        <v>25500</v>
      </c>
      <c r="J20" s="9">
        <f>ventas[[#This Row],[total]]*iva</f>
        <v>5355</v>
      </c>
      <c r="K20" s="9">
        <f>SUM(ventas[[#This Row],[total]],ventas[[#This Row],[iva]])</f>
        <v>30855</v>
      </c>
    </row>
    <row r="21" spans="1:11" x14ac:dyDescent="0.25">
      <c r="A21" t="s">
        <v>59</v>
      </c>
      <c r="B21">
        <v>5</v>
      </c>
      <c r="C21" t="str">
        <f>_xlfn.CONCAT(VLOOKUP(ventas[[#This Row],[cliente]],clientes[],2)&amp;" "&amp;VLOOKUP(ventas[[#This Row],[cliente]],clientes[],3))</f>
        <v>lopez luciana</v>
      </c>
      <c r="D21" s="16" t="str">
        <f>VLOOKUP(ventas[[#This Row],[cliente]],clientes[],4)</f>
        <v>27-12834917-4</v>
      </c>
      <c r="E21" s="27">
        <v>5</v>
      </c>
      <c r="F21">
        <v>2</v>
      </c>
      <c r="G21" t="str">
        <f>VLOOKUP(ventas[[#This Row],[art]],articulos[],2)</f>
        <v>Productos Lácteos</v>
      </c>
      <c r="H21" s="8">
        <f>VLOOKUP(ventas[[#This Row],[art]],articulos[],3)</f>
        <v>8500</v>
      </c>
      <c r="I21" s="9">
        <f>ventas[[#This Row],[cant]]*ventas[[#This Row],[precio]]</f>
        <v>17000</v>
      </c>
      <c r="J21" s="9">
        <f>ventas[[#This Row],[total]]*iva</f>
        <v>3570</v>
      </c>
      <c r="K21" s="9">
        <f>SUM(ventas[[#This Row],[total]],ventas[[#This Row],[iva]])</f>
        <v>20570</v>
      </c>
    </row>
    <row r="22" spans="1:11" x14ac:dyDescent="0.25">
      <c r="A22" t="s">
        <v>106</v>
      </c>
      <c r="B22">
        <v>6</v>
      </c>
      <c r="C22" s="13" t="str">
        <f>_xlfn.CONCAT(VLOOKUP(ventas[[#This Row],[cliente]],clientes[],2)&amp;" "&amp;VLOOKUP(ventas[[#This Row],[cliente]],clientes[],3))</f>
        <v>ramirez raquel</v>
      </c>
      <c r="D22" s="16" t="str">
        <f>VLOOKUP(ventas[[#This Row],[cliente]],clientes[],4)</f>
        <v>27-43892348-2</v>
      </c>
      <c r="E22" s="27">
        <v>5</v>
      </c>
      <c r="F22">
        <v>1</v>
      </c>
      <c r="G22" t="str">
        <f>VLOOKUP(ventas[[#This Row],[art]],articulos[],2)</f>
        <v>Productos Lácteos</v>
      </c>
      <c r="H22" s="8">
        <f>VLOOKUP(ventas[[#This Row],[art]],articulos[],3)</f>
        <v>8500</v>
      </c>
      <c r="I22" s="9">
        <f>ventas[[#This Row],[cant]]*ventas[[#This Row],[precio]]</f>
        <v>8500</v>
      </c>
      <c r="J22" s="9">
        <f>ventas[[#This Row],[total]]*iva</f>
        <v>1785</v>
      </c>
      <c r="K22" s="9">
        <f>SUM(ventas[[#This Row],[total]],ventas[[#This Row],[iva]])</f>
        <v>10285</v>
      </c>
    </row>
    <row r="23" spans="1:11" x14ac:dyDescent="0.25">
      <c r="A23" t="s">
        <v>98</v>
      </c>
      <c r="B23">
        <v>1</v>
      </c>
      <c r="C23" s="13" t="str">
        <f>_xlfn.CONCAT(VLOOKUP(ventas[[#This Row],[cliente]],clientes[],2)&amp;" "&amp;VLOOKUP(ventas[[#This Row],[cliente]],clientes[],3))</f>
        <v>racedo cristian</v>
      </c>
      <c r="D23" s="16" t="str">
        <f>VLOOKUP(ventas[[#This Row],[cliente]],clientes[],4)</f>
        <v>20-35336446-5</v>
      </c>
      <c r="E23" s="27">
        <v>6</v>
      </c>
      <c r="F23">
        <v>4</v>
      </c>
      <c r="G23" t="str">
        <f>VLOOKUP(ventas[[#This Row],[art]],articulos[],2)</f>
        <v>Frutas</v>
      </c>
      <c r="H23" s="8">
        <f>VLOOKUP(ventas[[#This Row],[art]],articulos[],3)</f>
        <v>23500</v>
      </c>
      <c r="I23" s="9">
        <f>ventas[[#This Row],[cant]]*ventas[[#This Row],[precio]]</f>
        <v>94000</v>
      </c>
      <c r="J23" s="9">
        <f>ventas[[#This Row],[total]]*iva</f>
        <v>19740</v>
      </c>
      <c r="K23" s="9">
        <f>SUM(ventas[[#This Row],[total]],ventas[[#This Row],[iva]])</f>
        <v>113740</v>
      </c>
    </row>
    <row r="24" spans="1:11" x14ac:dyDescent="0.25">
      <c r="A24" t="s">
        <v>103</v>
      </c>
      <c r="B24">
        <v>10</v>
      </c>
      <c r="C24" s="13" t="str">
        <f>_xlfn.CONCAT(VLOOKUP(ventas[[#This Row],[cliente]],clientes[],2)&amp;" "&amp;VLOOKUP(ventas[[#This Row],[cliente]],clientes[],3))</f>
        <v>gimenez ignacio</v>
      </c>
      <c r="D24" s="16" t="str">
        <f>VLOOKUP(ventas[[#This Row],[cliente]],clientes[],4)</f>
        <v>20-85495939-1</v>
      </c>
      <c r="E24" s="27">
        <v>7</v>
      </c>
      <c r="F24">
        <v>1</v>
      </c>
      <c r="G24" t="str">
        <f>VLOOKUP(ventas[[#This Row],[art]],articulos[],2)</f>
        <v>Muebles</v>
      </c>
      <c r="H24" s="8">
        <f>VLOOKUP(ventas[[#This Row],[art]],articulos[],3)</f>
        <v>120800</v>
      </c>
      <c r="I24" s="9">
        <f>ventas[[#This Row],[cant]]*ventas[[#This Row],[precio]]</f>
        <v>120800</v>
      </c>
      <c r="J24" s="9">
        <f>ventas[[#This Row],[total]]*iva</f>
        <v>25368</v>
      </c>
      <c r="K24" s="9">
        <f>SUM(ventas[[#This Row],[total]],ventas[[#This Row],[iva]])</f>
        <v>146168</v>
      </c>
    </row>
    <row r="25" spans="1:11" x14ac:dyDescent="0.25">
      <c r="A25" t="s">
        <v>89</v>
      </c>
      <c r="B25">
        <v>5</v>
      </c>
      <c r="C25" s="13" t="str">
        <f>_xlfn.CONCAT(VLOOKUP(ventas[[#This Row],[cliente]],clientes[],2)&amp;" "&amp;VLOOKUP(ventas[[#This Row],[cliente]],clientes[],3))</f>
        <v>lopez luciana</v>
      </c>
      <c r="D25" s="16" t="str">
        <f>VLOOKUP(ventas[[#This Row],[cliente]],clientes[],4)</f>
        <v>27-12834917-4</v>
      </c>
      <c r="E25" s="27">
        <v>8</v>
      </c>
      <c r="F25">
        <v>1</v>
      </c>
      <c r="G25" t="str">
        <f>VLOOKUP(ventas[[#This Row],[art]],articulos[],2)</f>
        <v>Monitores</v>
      </c>
      <c r="H25" s="8">
        <f>VLOOKUP(ventas[[#This Row],[art]],articulos[],3)</f>
        <v>56000</v>
      </c>
      <c r="I25" s="9">
        <f>ventas[[#This Row],[cant]]*ventas[[#This Row],[precio]]</f>
        <v>56000</v>
      </c>
      <c r="J25" s="9">
        <f>ventas[[#This Row],[total]]*iva</f>
        <v>11760</v>
      </c>
      <c r="K25" s="9">
        <f>SUM(ventas[[#This Row],[total]],ventas[[#This Row],[iva]])</f>
        <v>67760</v>
      </c>
    </row>
    <row r="26" spans="1:11" x14ac:dyDescent="0.25">
      <c r="A26" t="s">
        <v>104</v>
      </c>
      <c r="B26">
        <v>9</v>
      </c>
      <c r="C26" s="13" t="str">
        <f>_xlfn.CONCAT(VLOOKUP(ventas[[#This Row],[cliente]],clientes[],2)&amp;" "&amp;VLOOKUP(ventas[[#This Row],[cliente]],clientes[],3))</f>
        <v>gutierrez graciela</v>
      </c>
      <c r="D26" s="16" t="str">
        <f>VLOOKUP(ventas[[#This Row],[cliente]],clientes[],4)</f>
        <v>27-24759283-8</v>
      </c>
      <c r="E26" s="27">
        <v>8</v>
      </c>
      <c r="F26">
        <v>1</v>
      </c>
      <c r="G26" t="str">
        <f>VLOOKUP(ventas[[#This Row],[art]],articulos[],2)</f>
        <v>Monitores</v>
      </c>
      <c r="H26" s="8">
        <f>VLOOKUP(ventas[[#This Row],[art]],articulos[],3)</f>
        <v>56000</v>
      </c>
      <c r="I26" s="9">
        <f>ventas[[#This Row],[cant]]*ventas[[#This Row],[precio]]</f>
        <v>56000</v>
      </c>
      <c r="J26" s="9">
        <f>ventas[[#This Row],[total]]*iva</f>
        <v>11760</v>
      </c>
      <c r="K26" s="9">
        <f>SUM(ventas[[#This Row],[total]],ventas[[#This Row],[iva]])</f>
        <v>67760</v>
      </c>
    </row>
    <row r="27" spans="1:11" x14ac:dyDescent="0.25">
      <c r="A27" t="s">
        <v>88</v>
      </c>
      <c r="B27">
        <v>1</v>
      </c>
      <c r="C27" s="13" t="str">
        <f>_xlfn.CONCAT(VLOOKUP(ventas[[#This Row],[cliente]],clientes[],2)&amp;" "&amp;VLOOKUP(ventas[[#This Row],[cliente]],clientes[],3))</f>
        <v>racedo cristian</v>
      </c>
      <c r="D27" s="16" t="str">
        <f>VLOOKUP(ventas[[#This Row],[cliente]],clientes[],4)</f>
        <v>20-35336446-5</v>
      </c>
      <c r="E27" s="27">
        <v>10</v>
      </c>
      <c r="F27">
        <v>20</v>
      </c>
      <c r="G27" t="str">
        <f>VLOOKUP(ventas[[#This Row],[art]],articulos[],2)</f>
        <v>Modulares</v>
      </c>
      <c r="H27" s="8">
        <f>VLOOKUP(ventas[[#This Row],[art]],articulos[],3)</f>
        <v>300000</v>
      </c>
      <c r="I27" s="9">
        <f>ventas[[#This Row],[cant]]*ventas[[#This Row],[precio]]</f>
        <v>6000000</v>
      </c>
      <c r="J27" s="9">
        <f>ventas[[#This Row],[total]]*iva</f>
        <v>1260000</v>
      </c>
      <c r="K27" s="9">
        <f>SUM(ventas[[#This Row],[total]],ventas[[#This Row],[iva]])</f>
        <v>7260000</v>
      </c>
    </row>
    <row r="28" spans="1:11" x14ac:dyDescent="0.25">
      <c r="A28" t="s">
        <v>102</v>
      </c>
      <c r="B28">
        <v>5</v>
      </c>
      <c r="C28" s="13" t="str">
        <f>_xlfn.CONCAT(VLOOKUP(ventas[[#This Row],[cliente]],clientes[],2)&amp;" "&amp;VLOOKUP(ventas[[#This Row],[cliente]],clientes[],3))</f>
        <v>lopez luciana</v>
      </c>
      <c r="D28" s="16" t="str">
        <f>VLOOKUP(ventas[[#This Row],[cliente]],clientes[],4)</f>
        <v>27-12834917-4</v>
      </c>
      <c r="E28" s="27">
        <v>10</v>
      </c>
      <c r="F28">
        <v>2</v>
      </c>
      <c r="G28" t="str">
        <f>VLOOKUP(ventas[[#This Row],[art]],articulos[],2)</f>
        <v>Modulares</v>
      </c>
      <c r="H28" s="8">
        <f>VLOOKUP(ventas[[#This Row],[art]],articulos[],3)</f>
        <v>300000</v>
      </c>
      <c r="I28" s="9">
        <f>ventas[[#This Row],[cant]]*ventas[[#This Row],[precio]]</f>
        <v>600000</v>
      </c>
      <c r="J28" s="9">
        <f>ventas[[#This Row],[total]]*iva</f>
        <v>126000</v>
      </c>
      <c r="K28" s="9">
        <f>SUM(ventas[[#This Row],[total]],ventas[[#This Row],[iva]])</f>
        <v>726000</v>
      </c>
    </row>
    <row r="29" spans="1:11" x14ac:dyDescent="0.25">
      <c r="A29" t="s">
        <v>99</v>
      </c>
      <c r="B29">
        <v>5</v>
      </c>
      <c r="C29" s="13" t="str">
        <f>_xlfn.CONCAT(VLOOKUP(ventas[[#This Row],[cliente]],clientes[],2)&amp;" "&amp;VLOOKUP(ventas[[#This Row],[cliente]],clientes[],3))</f>
        <v>lopez luciana</v>
      </c>
      <c r="D29" s="16" t="str">
        <f>VLOOKUP(ventas[[#This Row],[cliente]],clientes[],4)</f>
        <v>27-12834917-4</v>
      </c>
      <c r="E29" s="27">
        <v>11</v>
      </c>
      <c r="F29">
        <v>5</v>
      </c>
      <c r="G29" t="str">
        <f>VLOOKUP(ventas[[#This Row],[art]],articulos[],2)</f>
        <v>Automoviles</v>
      </c>
      <c r="H29" s="8">
        <f>VLOOKUP(ventas[[#This Row],[art]],articulos[],3)</f>
        <v>1254360</v>
      </c>
      <c r="I29" s="9">
        <f>ventas[[#This Row],[cant]]*ventas[[#This Row],[precio]]</f>
        <v>6271800</v>
      </c>
      <c r="J29" s="9">
        <f>ventas[[#This Row],[total]]*iva</f>
        <v>1317078</v>
      </c>
      <c r="K29" s="9">
        <f>SUM(ventas[[#This Row],[total]],ventas[[#This Row],[iva]])</f>
        <v>7588878</v>
      </c>
    </row>
    <row r="30" spans="1:11" x14ac:dyDescent="0.25">
      <c r="A30" t="s">
        <v>101</v>
      </c>
      <c r="B30">
        <v>11</v>
      </c>
      <c r="C30" s="13" t="str">
        <f>_xlfn.CONCAT(VLOOKUP(ventas[[#This Row],[cliente]],clientes[],2)&amp;" "&amp;VLOOKUP(ventas[[#This Row],[cliente]],clientes[],3))</f>
        <v>gimenez ignacio</v>
      </c>
      <c r="D30" s="16" t="str">
        <f>VLOOKUP(ventas[[#This Row],[cliente]],clientes[],4)</f>
        <v>20-82491289-1</v>
      </c>
      <c r="E30" s="27">
        <v>12</v>
      </c>
      <c r="F30">
        <v>3</v>
      </c>
      <c r="G30" t="str">
        <f>VLOOKUP(ventas[[#This Row],[art]],articulos[],2)</f>
        <v>Harinas</v>
      </c>
      <c r="H30" s="8">
        <f>VLOOKUP(ventas[[#This Row],[art]],articulos[],3)</f>
        <v>5000</v>
      </c>
      <c r="I30" s="9">
        <f>ventas[[#This Row],[cant]]*ventas[[#This Row],[precio]]</f>
        <v>15000</v>
      </c>
      <c r="J30" s="9">
        <f>ventas[[#This Row],[total]]*iva</f>
        <v>3150</v>
      </c>
      <c r="K30" s="9">
        <f>SUM(ventas[[#This Row],[total]],ventas[[#This Row],[iva]])</f>
        <v>18150</v>
      </c>
    </row>
    <row r="31" spans="1:11" x14ac:dyDescent="0.25">
      <c r="A31" t="s">
        <v>100</v>
      </c>
      <c r="B31">
        <v>4</v>
      </c>
      <c r="C31" s="13" t="str">
        <f>_xlfn.CONCAT(VLOOKUP(ventas[[#This Row],[cliente]],clientes[],2)&amp;" "&amp;VLOOKUP(ventas[[#This Row],[cliente]],clientes[],3))</f>
        <v>gomez gabriel</v>
      </c>
      <c r="D31" s="16" t="str">
        <f>VLOOKUP(ventas[[#This Row],[cliente]],clientes[],4)</f>
        <v>20-92918234-3</v>
      </c>
      <c r="E31" s="27">
        <v>13</v>
      </c>
      <c r="F31">
        <v>2</v>
      </c>
      <c r="G31" t="str">
        <f>VLOOKUP(ventas[[#This Row],[art]],articulos[],2)</f>
        <v>Pastas</v>
      </c>
      <c r="H31" s="8">
        <f>VLOOKUP(ventas[[#This Row],[art]],articulos[],3)</f>
        <v>10000</v>
      </c>
      <c r="I31" s="9">
        <f>ventas[[#This Row],[cant]]*ventas[[#This Row],[precio]]</f>
        <v>20000</v>
      </c>
      <c r="J31" s="9">
        <f>ventas[[#This Row],[total]]*iva</f>
        <v>4200</v>
      </c>
      <c r="K31" s="9">
        <f>SUM(ventas[[#This Row],[total]],ventas[[#This Row],[iva]])</f>
        <v>24200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whole" allowBlank="1" showInputMessage="1" showErrorMessage="1" promptTitle="Ingrese un valor que numerico" prompt="el valor debe existir en la tabla productos como codigo valido para la insercion del mismo" xr:uid="{AFA29D85-1C16-48F9-9167-F9E38A73F282}">
          <x14:formula1>
            <xm:f>productos!A2</xm:f>
          </x14:formula1>
          <x14:formula2>
            <xm:f>productos!A14</xm:f>
          </x14:formula2>
          <xm:sqref>F1:F1048576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FC27-ED6E-448A-9430-0407D4655551}">
  <dimension ref="A1:J3"/>
  <sheetViews>
    <sheetView zoomScale="190" zoomScaleNormal="190" workbookViewId="0">
      <selection activeCell="H5" sqref="H5"/>
    </sheetView>
  </sheetViews>
  <sheetFormatPr baseColWidth="10" defaultRowHeight="15" x14ac:dyDescent="0.25"/>
  <cols>
    <col min="1" max="1" width="4.140625" bestFit="1" customWidth="1"/>
    <col min="2" max="2" width="3.85546875" bestFit="1" customWidth="1"/>
    <col min="3" max="3" width="4.140625" bestFit="1" customWidth="1"/>
    <col min="4" max="4" width="3.42578125" customWidth="1"/>
    <col min="5" max="6" width="4.140625" bestFit="1" customWidth="1"/>
    <col min="7" max="7" width="3.85546875" bestFit="1" customWidth="1"/>
    <col min="8" max="8" width="3.85546875" customWidth="1"/>
    <col min="9" max="9" width="6.140625" bestFit="1" customWidth="1"/>
  </cols>
  <sheetData>
    <row r="1" spans="1:10" x14ac:dyDescent="0.25">
      <c r="A1" s="11" t="s">
        <v>62</v>
      </c>
      <c r="B1" s="11" t="s">
        <v>65</v>
      </c>
      <c r="C1" s="11" t="s">
        <v>64</v>
      </c>
      <c r="D1" s="10"/>
      <c r="E1" s="11" t="s">
        <v>63</v>
      </c>
      <c r="F1" s="11" t="s">
        <v>64</v>
      </c>
      <c r="G1" s="11" t="s">
        <v>65</v>
      </c>
      <c r="I1" s="13">
        <v>33346</v>
      </c>
      <c r="J1" s="1">
        <v>33346</v>
      </c>
    </row>
    <row r="2" spans="1:10" x14ac:dyDescent="0.25">
      <c r="A2" s="11" t="s">
        <v>66</v>
      </c>
      <c r="B2" s="11" t="s">
        <v>68</v>
      </c>
      <c r="C2" s="11" t="s">
        <v>68</v>
      </c>
      <c r="D2" s="10"/>
      <c r="E2" s="11" t="s">
        <v>67</v>
      </c>
      <c r="F2" s="12" t="s">
        <v>69</v>
      </c>
      <c r="G2" s="12" t="s">
        <v>69</v>
      </c>
      <c r="I2">
        <v>1</v>
      </c>
      <c r="J2" s="1">
        <v>1</v>
      </c>
    </row>
    <row r="3" spans="1:10" x14ac:dyDescent="0.25">
      <c r="A3" s="11" t="s">
        <v>67</v>
      </c>
      <c r="B3" s="11" t="s">
        <v>68</v>
      </c>
      <c r="C3" s="11" t="s">
        <v>69</v>
      </c>
      <c r="D3" s="10"/>
      <c r="E3" s="11" t="s">
        <v>66</v>
      </c>
      <c r="F3" s="12" t="s">
        <v>69</v>
      </c>
      <c r="G3" s="12" t="s"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clientes</vt:lpstr>
      <vt:lpstr>productos</vt:lpstr>
      <vt:lpstr>ventas</vt:lpstr>
      <vt:lpstr>condicion</vt:lpstr>
      <vt:lpstr>hoy</vt:lpstr>
      <vt:lpstr>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2022-11-10T15:32:38Z</dcterms:created>
  <dcterms:modified xsi:type="dcterms:W3CDTF">2022-12-01T16:54:00Z</dcterms:modified>
</cp:coreProperties>
</file>