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C9FE517E-5EB8-4D7C-8BE4-2F2D5CF19B31}" xr6:coauthVersionLast="47" xr6:coauthVersionMax="47" xr10:uidLastSave="{00000000-0000-0000-0000-000000000000}"/>
  <bookViews>
    <workbookView xWindow="-120" yWindow="-120" windowWidth="20730" windowHeight="11040" activeTab="2" xr2:uid="{141573A4-CDA2-4761-B364-CE062A8F3AE5}"/>
  </bookViews>
  <sheets>
    <sheet name="intro" sheetId="1" r:id="rId1"/>
    <sheet name="listas" sheetId="6" r:id="rId2"/>
    <sheet name="asist." sheetId="5" r:id="rId3"/>
    <sheet name="operadores" sheetId="3" r:id="rId4"/>
    <sheet name="ventas" sheetId="4" r:id="rId5"/>
  </sheets>
  <externalReferences>
    <externalReference r:id="rId6"/>
  </externalReferences>
  <definedNames>
    <definedName name="asist">asist.!$AG$2:$AG$11</definedName>
    <definedName name="aus">asist.!$AF$2:$AF$11</definedName>
    <definedName name="iva_ventas">ventas!$L$2</definedName>
    <definedName name="jornada">asist.!$AO$2</definedName>
    <definedName name="valor_hora">asist.!$AN$2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5" l="1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4" i="5"/>
  <c r="AF12" i="5"/>
  <c r="A2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B1" i="4"/>
  <c r="A11" i="5"/>
  <c r="A3" i="5"/>
  <c r="A4" i="5"/>
  <c r="A5" i="5"/>
  <c r="A6" i="5"/>
  <c r="A7" i="5"/>
  <c r="A8" i="5"/>
  <c r="A9" i="5"/>
  <c r="A10" i="5"/>
  <c r="G19" i="4"/>
  <c r="H19" i="4" s="1"/>
  <c r="G18" i="4"/>
  <c r="H18" i="4" s="1"/>
  <c r="B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AG2" i="5" l="1"/>
  <c r="AG4" i="5"/>
  <c r="AG12" i="5" s="1"/>
  <c r="I19" i="4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  <c r="AH2" i="5" l="1" a="1"/>
  <c r="AH2" i="5" s="1"/>
  <c r="AH4" i="5" a="1"/>
  <c r="AH4" i="5" s="1"/>
  <c r="AK3" i="5"/>
  <c r="AK4" i="5"/>
  <c r="AK7" i="5"/>
  <c r="AK5" i="5"/>
  <c r="AK6" i="5"/>
  <c r="AK2" i="5"/>
  <c r="AL6" i="5"/>
  <c r="AL3" i="5"/>
  <c r="AL2" i="5"/>
  <c r="AL7" i="5"/>
  <c r="AL5" i="5"/>
  <c r="AL4" i="5"/>
  <c r="AH12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<sst xmlns="http://schemas.openxmlformats.org/spreadsheetml/2006/main" count="455" uniqueCount="205">
  <si>
    <t>apellido</t>
  </si>
  <si>
    <t>nombre</t>
  </si>
  <si>
    <t>edad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</si>
  <si>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</si>
  <si>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</si>
  <si>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</si>
  <si>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</si>
  <si>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</si>
  <si>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</si>
  <si>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</si>
  <si>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</si>
  <si>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</si>
  <si>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</si>
  <si>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</si>
  <si>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</si>
  <si>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</si>
  <si>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</si>
  <si>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</si>
  <si>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</si>
  <si>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</si>
  <si>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</si>
  <si>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</si>
  <si>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</si>
  <si>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</si>
  <si>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</si>
  <si>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</si>
  <si>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</si>
  <si>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</si>
  <si>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</si>
  <si>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</si>
  <si>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</si>
  <si>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</si>
  <si>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</si>
  <si>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</si>
  <si>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</si>
  <si>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</si>
  <si>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</si>
  <si>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</si>
  <si>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</si>
  <si>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</si>
  <si>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</si>
  <si>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</si>
  <si>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</si>
  <si>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</si>
  <si>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</si>
  <si>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</si>
  <si>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</si>
  <si>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</si>
  <si>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</si>
  <si>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</si>
  <si>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</si>
  <si>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</si>
  <si>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</si>
  <si>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</si>
  <si>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</si>
  <si>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</si>
  <si>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</si>
  <si>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</si>
  <si>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</si>
  <si>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</si>
  <si>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</si>
  <si>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</si>
  <si>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</si>
  <si>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</si>
  <si>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</si>
  <si>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</si>
  <si>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</si>
  <si>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</si>
  <si>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</si>
  <si>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</si>
  <si>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</si>
  <si>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</si>
  <si>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</si>
  <si>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</si>
  <si>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</si>
  <si>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</si>
  <si>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</si>
  <si>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</si>
  <si>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</si>
  <si>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</si>
  <si>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</si>
  <si>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</si>
  <si>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</si>
  <si>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</si>
  <si>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</si>
  <si>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</si>
  <si>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</si>
  <si>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</si>
  <si>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</si>
  <si>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</si>
  <si>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</si>
  <si>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</si>
  <si>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</si>
  <si>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</si>
  <si>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</si>
  <si>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</si>
  <si>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</si>
  <si>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</si>
  <si>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</si>
  <si>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</si>
  <si>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</si>
  <si>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</si>
  <si>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</si>
  <si>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</si>
  <si>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</si>
  <si>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</si>
  <si>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</si>
  <si>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</si>
  <si>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</si>
  <si>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</si>
  <si>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</si>
  <si>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</si>
  <si>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</si>
  <si>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</si>
  <si>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</si>
  <si>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</si>
  <si>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</si>
  <si>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</si>
  <si>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</si>
  <si>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</si>
  <si>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</si>
  <si>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</si>
  <si>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</si>
  <si>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</si>
  <si>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</si>
  <si>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</si>
  <si>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</si>
  <si>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</si>
  <si>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</si>
  <si>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</si>
  <si>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</si>
  <si>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</si>
  <si>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</si>
  <si>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</si>
  <si>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</si>
  <si>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</si>
  <si>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</si>
  <si>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</si>
  <si>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final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</si>
  <si>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</si>
  <si>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</si>
  <si>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</si>
  <si>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</si>
  <si>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</si>
  <si>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</si>
  <si>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</si>
  <si>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</si>
  <si>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</si>
  <si>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</si>
  <si>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</si>
  <si>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</si>
  <si>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</si>
  <si>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</si>
  <si>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</si>
  <si>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</si>
  <si>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</si>
  <si>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</si>
  <si>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</si>
  <si>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</si>
  <si>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</si>
  <si>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empleado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</si>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</sst>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</cellStyleXfs>
  <cellXfs count="107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14" fontId="0" fillId="0" borderId="0" xfId="0" applyNumberForma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20" fontId="0" fillId="0" borderId="0" xfId="0" applyNumberForma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0" fontId="0" fillId="0" borderId="0" xfId="0" applyFont="1" applyBorder="1" applyAlignment="1"/>
    <xf numFmtId="0" fontId="0" fillId="0" borderId="11" xfId="0" applyFont="1" applyBorder="1" applyAlignment="1"/>
  </cellXfs>
  <cellStyles count="4">
    <cellStyle name="20% - Énfasis1" xfId="3" builtinId="30"/>
    <cellStyle name="Millares" xfId="1" builtinId="3"/>
    <cellStyle name="Moneda" xfId="2" builtinId="4"/>
    <cellStyle name="Normal" xfId="0" builtinId="0"/>
  </cellStyles>
  <dxfs count="76"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179520</xdr:colOff>
      <xdr:row>0</xdr:row>
      <xdr:rowOff>-7193</xdr:rowOff>
    </xdr:from>
    <xdr:to>
      <xdr:col>9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3F7D3-FC16-4ADE-983E-0C1610F35EF9}" name="Tabla2" displayName="Tabla2" ref="A1:AH12" totalsRowCount="1" tableBorderDxfId="68">
  <autoFilter ref="A1:AH11" xr:uid="{EEC3F7D3-FC16-4ADE-983E-0C1610F35EF9}"/>
  <tableColumns count="34">
    <tableColumn id="1" xr3:uid="{3BC12B46-9136-46E3-A223-F3CF03180032}" name="empleado" totalsRowLabel="Total" dataDxfId="67" totalsRowDxfId="33">
      <calculatedColumnFormula>_xlfn.CONCAT(intro!C2&amp;" "&amp;intro!B2)</calculatedColumnFormula>
    </tableColumn>
    <tableColumn id="2" xr3:uid="{EFF3AF5F-195C-4F10-99FE-785728D28C5D}" name="01/09/22" totalsRowFunction="custom" dataDxfId="66" totalsRowDxfId="32">
      <totalsRowFormula>COUNTBLANK(B2:B11)</totalsRowFormula>
    </tableColumn>
    <tableColumn id="3" xr3:uid="{B4FC7CAF-FA55-407A-842E-0460E09C85C1}" name="02/09/22" totalsRowFunction="custom" dataDxfId="65" totalsRowDxfId="31">
      <totalsRowFormula>COUNTBLANK(C2:C11)</totalsRowFormula>
    </tableColumn>
    <tableColumn id="4" xr3:uid="{E3097182-23B6-425A-92EE-36978BF0DE3F}" name="03/09/22" totalsRowFunction="custom" dataDxfId="64" totalsRowDxfId="30">
      <totalsRowFormula>COUNTBLANK(D2:D11)</totalsRowFormula>
    </tableColumn>
    <tableColumn id="5" xr3:uid="{DF3AAB83-0485-4F05-AB00-2545B38349C9}" name="04/09/22" totalsRowFunction="custom" dataDxfId="63" totalsRowDxfId="29">
      <totalsRowFormula>COUNTBLANK(E2:E11)</totalsRowFormula>
    </tableColumn>
    <tableColumn id="6" xr3:uid="{289CDE49-86B5-4A2E-AD2A-88E654D99550}" name="05/09/22" totalsRowFunction="custom" dataDxfId="62" totalsRowDxfId="28">
      <totalsRowFormula>COUNTBLANK(F2:F11)</totalsRowFormula>
    </tableColumn>
    <tableColumn id="7" xr3:uid="{B8394F89-B921-4F8B-AA99-9D70F20F82B4}" name="06/09/22" totalsRowFunction="custom" dataDxfId="61" totalsRowDxfId="27">
      <totalsRowFormula>COUNTBLANK(G2:G11)</totalsRowFormula>
    </tableColumn>
    <tableColumn id="8" xr3:uid="{04DACE89-3D92-4FF3-924F-906DDE5F88B3}" name="07/09/22" totalsRowFunction="custom" dataDxfId="60" totalsRowDxfId="26">
      <totalsRowFormula>COUNTBLANK(H2:H11)</totalsRowFormula>
    </tableColumn>
    <tableColumn id="9" xr3:uid="{100270AA-B53D-40EC-9CC2-9A86D03E7B63}" name="08/09/22" totalsRowFunction="custom" dataDxfId="59" totalsRowDxfId="25">
      <totalsRowFormula>COUNTBLANK(I2:I11)</totalsRowFormula>
    </tableColumn>
    <tableColumn id="10" xr3:uid="{4E7AE930-4F87-46DB-BC25-755B9FCE8334}" name="09/09/22" totalsRowFunction="custom" dataDxfId="58" totalsRowDxfId="24">
      <totalsRowFormula>COUNTBLANK(J2:J11)</totalsRowFormula>
    </tableColumn>
    <tableColumn id="11" xr3:uid="{A290F754-25C9-4725-AA39-A5F7E917CEA6}" name="10/09/22" totalsRowFunction="custom" dataDxfId="57" totalsRowDxfId="23">
      <totalsRowFormula>COUNTBLANK(K2:K11)</totalsRowFormula>
    </tableColumn>
    <tableColumn id="12" xr3:uid="{345E4699-6960-4F8C-AD5A-FC38BC637812}" name="11/09/22" totalsRowFunction="custom" dataDxfId="56" totalsRowDxfId="22">
      <totalsRowFormula>COUNTBLANK(L2:L11)</totalsRowFormula>
    </tableColumn>
    <tableColumn id="13" xr3:uid="{C319BC6B-F023-4B30-9FCA-7A754DD55FCA}" name="12/09/22" totalsRowFunction="custom" dataDxfId="55" totalsRowDxfId="21">
      <totalsRowFormula>COUNTBLANK(M2:M11)</totalsRowFormula>
    </tableColumn>
    <tableColumn id="14" xr3:uid="{F4EF58AA-21FE-4B55-AF40-32A717EFAAA3}" name="13/09/22" totalsRowFunction="custom" dataDxfId="54" totalsRowDxfId="20">
      <totalsRowFormula>COUNTBLANK(N2:N11)</totalsRowFormula>
    </tableColumn>
    <tableColumn id="15" xr3:uid="{955F3CC8-384F-4109-8FB3-2C8F52EBA258}" name="14/09/22" totalsRowFunction="custom" dataDxfId="53" totalsRowDxfId="19">
      <totalsRowFormula>COUNTBLANK(O2:O11)</totalsRowFormula>
    </tableColumn>
    <tableColumn id="16" xr3:uid="{D935C57A-202A-4379-9882-456376A20791}" name="15/09/22" totalsRowFunction="custom" dataDxfId="52" totalsRowDxfId="18">
      <totalsRowFormula>COUNTBLANK(P2:P11)</totalsRowFormula>
    </tableColumn>
    <tableColumn id="17" xr3:uid="{F750011F-0079-4A58-9A16-9F54B96B628F}" name="16/09/22" totalsRowFunction="custom" dataDxfId="51" totalsRowDxfId="17">
      <totalsRowFormula>COUNTBLANK(Q2:Q11)</totalsRowFormula>
    </tableColumn>
    <tableColumn id="18" xr3:uid="{49CFC2CB-DEE3-4084-A9B1-400173500FC7}" name="17/09/22" totalsRowFunction="custom" dataDxfId="50" totalsRowDxfId="16">
      <totalsRowFormula>COUNTBLANK(R2:R11)</totalsRowFormula>
    </tableColumn>
    <tableColumn id="19" xr3:uid="{2A070A00-21A5-4C85-B22C-18F7C4299E76}" name="18/09/22" totalsRowFunction="custom" dataDxfId="49" totalsRowDxfId="15">
      <totalsRowFormula>COUNTBLANK(S2:S11)</totalsRowFormula>
    </tableColumn>
    <tableColumn id="20" xr3:uid="{2F3848F7-9FC8-41C7-8B8E-3DC1AD7E2B2D}" name="19/09/22" totalsRowFunction="custom" dataDxfId="48" totalsRowDxfId="14">
      <totalsRowFormula>COUNTBLANK(T2:T11)</totalsRowFormula>
    </tableColumn>
    <tableColumn id="21" xr3:uid="{6A19B4F0-48D3-45DB-8374-12908F15B6F9}" name="20/09/22" totalsRowFunction="custom" dataDxfId="47" totalsRowDxfId="13">
      <totalsRowFormula>COUNTBLANK(U2:U11)</totalsRowFormula>
    </tableColumn>
    <tableColumn id="22" xr3:uid="{63A6939A-E9E8-45CF-9088-805582F92540}" name="21/09/22" totalsRowFunction="custom" dataDxfId="46" totalsRowDxfId="12">
      <totalsRowFormula>COUNTBLANK(V2:V11)</totalsRowFormula>
    </tableColumn>
    <tableColumn id="23" xr3:uid="{3A8081AE-FFEF-453A-8C5D-2875AC04E830}" name="22/09/22" totalsRowFunction="custom" dataDxfId="45" totalsRowDxfId="11">
      <totalsRowFormula>COUNTBLANK(W2:W11)</totalsRowFormula>
    </tableColumn>
    <tableColumn id="24" xr3:uid="{22272C23-A90F-452D-A9AF-31FBA76B0A93}" name="23/09/22" totalsRowFunction="custom" dataDxfId="44" totalsRowDxfId="10">
      <totalsRowFormula>COUNTBLANK(X2:X11)</totalsRowFormula>
    </tableColumn>
    <tableColumn id="25" xr3:uid="{6E7886D9-9761-4982-9981-31BD04607333}" name="24/09/22" totalsRowFunction="custom" dataDxfId="43" totalsRowDxfId="9">
      <totalsRowFormula>COUNTBLANK(Y2:Y11)</totalsRowFormula>
    </tableColumn>
    <tableColumn id="26" xr3:uid="{276376AC-8E31-43E4-B91B-745F172ADC35}" name="25/09/22" totalsRowFunction="custom" dataDxfId="42" totalsRowDxfId="8">
      <totalsRowFormula>COUNTBLANK(Z2:Z11)</totalsRowFormula>
    </tableColumn>
    <tableColumn id="27" xr3:uid="{9109FB9F-7440-421E-9446-9E9B6FFFD256}" name="26/09/22" totalsRowFunction="custom" dataDxfId="41" totalsRowDxfId="7">
      <totalsRowFormula>COUNTBLANK(AA2:AA11)</totalsRowFormula>
    </tableColumn>
    <tableColumn id="28" xr3:uid="{5AB2CC28-856B-4321-9762-31254B1969CD}" name="27/09/22" totalsRowFunction="custom" dataDxfId="40" totalsRowDxfId="6">
      <totalsRowFormula>COUNTBLANK(AB2:AB11)</totalsRowFormula>
    </tableColumn>
    <tableColumn id="29" xr3:uid="{D0BEEA5E-C393-4746-B9FC-46416AD86643}" name="28/09/22" totalsRowFunction="custom" dataDxfId="39" totalsRowDxfId="5">
      <totalsRowFormula>COUNTBLANK(AC2:AC11)</totalsRowFormula>
    </tableColumn>
    <tableColumn id="30" xr3:uid="{E0D345F5-0F48-4975-898E-C883BCB5929B}" name="29/09/22" totalsRowFunction="custom" dataDxfId="38" totalsRowDxfId="4">
      <totalsRowFormula>COUNTBLANK(AD2:AD11)</totalsRowFormula>
    </tableColumn>
    <tableColumn id="31" xr3:uid="{856CECCD-AA83-412F-B271-E7AA0322CB2D}" name="30/09/22" totalsRowFunction="custom" dataDxfId="37" totalsRowDxfId="3">
      <totalsRowFormula>COUNTBLANK(AE2:AE11)</totalsRowFormula>
    </tableColumn>
    <tableColumn id="32" xr3:uid="{C973201C-8133-4990-9E6A-D4CB26C5239F}" name="Aus." totalsRowFunction="sum" dataDxfId="36" totalsRowDxfId="2">
      <calculatedColumnFormula>COUNTBLANK(B2:AE2)</calculatedColumnFormula>
    </tableColumn>
    <tableColumn id="33" xr3:uid="{A098E373-FD51-4C9C-AC35-D747B01EFBF0}" name="Asist." totalsRowFunction="sum" dataDxfId="35" totalsRowDxfId="1">
      <calculatedColumnFormula>COUNTA($B$1:$AE$1) - AF2</calculatedColumnFormula>
    </tableColumn>
    <tableColumn id="34" xr3:uid="{12FDB034-D9E1-4441-837B-7BA9DF3F084B}" name="sueldo" totalsRowFunction="sum" dataDxfId="34" totalsRowDxfId="0">
      <calculatedColumnFormula array="1">AG2*valor_hora*jornada</calculatedColumnFormula>
    </tableColumn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75" dataDxfId="74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73" dataCellStyle="Moneda"/>
    <tableColumn id="4" xr3:uid="{48AEC4E8-96DE-4725-B4D9-EBB0B8B700CF}" name="total" dataDxfId="72" dataCellStyle="Moneda">
      <calculatedColumnFormula>ventas[[#This Row],[cant]]*ventas[[#This Row],[precio]]</calculatedColumnFormula>
    </tableColumn>
    <tableColumn id="5" xr3:uid="{83C20BB9-A623-4746-82D5-84E408BD5E76}" name="iva" dataDxfId="71" dataCellStyle="Moneda">
      <calculatedColumnFormula>ventas[[#This Row],[total]]*iva_ventas</calculatedColumnFormula>
    </tableColumn>
    <tableColumn id="6" xr3:uid="{9587F797-1F6A-4699-95ED-8F390E0DAC4F}" name="precio+iva" dataDxfId="70" dataCellStyle="Moneda">
      <calculatedColumnFormula>ventas[[#This Row],[total]]+ventas[[#This Row],[iva]]</calculatedColumnFormula>
    </tableColumn>
    <tableColumn id="7" xr3:uid="{710A6C7B-EF76-4F87-B111-6E49C18F5053}" name="fecha" dataDxf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L26"/>
  <sheetViews>
    <sheetView zoomScale="130" zoomScaleNormal="130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7" style="18" bestFit="1" customWidth="1"/>
    <col min="6" max="6" width="11.85546875" style="19" bestFit="1" customWidth="1"/>
    <col min="7" max="7" width="15.28515625" style="18" bestFit="1" customWidth="1"/>
    <col min="8" max="8" width="13.28515625" style="20" bestFit="1" customWidth="1"/>
    <col min="9" max="9" width="4" customWidth="1"/>
    <col min="10" max="10" width="13.28515625" bestFit="1" customWidth="1"/>
    <col min="11" max="11" width="24.42578125" bestFit="1" customWidth="1"/>
    <col min="12" max="12" width="15.140625" style="1" bestFit="1" customWidth="1"/>
  </cols>
  <sheetData>
    <row r="1" spans="1:12" ht="15.75" x14ac:dyDescent="0.25">
      <c r="A1" s="33" t="s">
        <v>29</v>
      </c>
      <c r="B1" s="81" t="s">
        <v>1</v>
      </c>
      <c r="C1" s="81" t="s">
        <v>0</v>
      </c>
      <c r="D1" s="34" t="s">
        <v>55</v>
      </c>
      <c r="E1" s="34" t="s">
        <v>2</v>
      </c>
      <c r="F1" s="35" t="s">
        <v>38</v>
      </c>
      <c r="G1" s="34" t="s">
        <v>3</v>
      </c>
      <c r="H1" s="36" t="s">
        <v>4</v>
      </c>
      <c r="J1" s="3" t="s">
        <v>12</v>
      </c>
      <c r="K1" s="4" t="s">
        <v>21</v>
      </c>
    </row>
    <row r="2" spans="1:12" x14ac:dyDescent="0.25">
      <c r="A2" s="37">
        <v>1</v>
      </c>
      <c r="B2" s="82" t="s">
        <v>48</v>
      </c>
      <c r="C2" s="82" t="s">
        <v>9</v>
      </c>
      <c r="D2" s="38" t="s">
        <v>56</v>
      </c>
      <c r="E2" s="38">
        <v>31</v>
      </c>
      <c r="F2" s="39">
        <v>33346</v>
      </c>
      <c r="G2" s="38" t="s">
        <v>5</v>
      </c>
      <c r="H2" s="40" t="s">
        <v>6</v>
      </c>
      <c r="J2" s="5" t="s">
        <v>13</v>
      </c>
      <c r="K2" s="6" t="s">
        <v>22</v>
      </c>
    </row>
    <row r="3" spans="1:12" x14ac:dyDescent="0.25">
      <c r="A3" s="41">
        <v>2</v>
      </c>
      <c r="B3" s="83" t="s">
        <v>11</v>
      </c>
      <c r="C3" s="83" t="s">
        <v>10</v>
      </c>
      <c r="D3" s="42" t="s">
        <v>57</v>
      </c>
      <c r="E3" s="42">
        <v>25</v>
      </c>
      <c r="F3" s="43">
        <v>35632</v>
      </c>
      <c r="G3" s="42" t="s">
        <v>7</v>
      </c>
      <c r="H3" s="44" t="s">
        <v>8</v>
      </c>
      <c r="J3" s="7" t="s">
        <v>14</v>
      </c>
      <c r="K3" s="8">
        <v>31</v>
      </c>
    </row>
    <row r="4" spans="1:12" x14ac:dyDescent="0.25">
      <c r="A4" s="37">
        <v>3</v>
      </c>
      <c r="B4" s="45" t="s">
        <v>26</v>
      </c>
      <c r="C4" s="45" t="s">
        <v>25</v>
      </c>
      <c r="D4" s="38" t="s">
        <v>58</v>
      </c>
      <c r="E4" s="38">
        <v>45</v>
      </c>
      <c r="F4" s="39">
        <v>32048</v>
      </c>
      <c r="G4" s="38" t="s">
        <v>27</v>
      </c>
      <c r="H4" s="40" t="s">
        <v>28</v>
      </c>
      <c r="J4" s="5" t="s">
        <v>135</v>
      </c>
      <c r="K4" s="9">
        <v>33346</v>
      </c>
    </row>
    <row r="5" spans="1:12" x14ac:dyDescent="0.25">
      <c r="A5" s="41">
        <v>4</v>
      </c>
      <c r="B5" s="83" t="s">
        <v>32</v>
      </c>
      <c r="C5" s="83" t="s">
        <v>30</v>
      </c>
      <c r="D5" s="42" t="s">
        <v>59</v>
      </c>
      <c r="E5" s="42">
        <v>33</v>
      </c>
      <c r="F5" s="43">
        <v>32745</v>
      </c>
      <c r="G5" s="42" t="s">
        <v>33</v>
      </c>
      <c r="H5" s="44" t="s">
        <v>34</v>
      </c>
      <c r="J5" s="7" t="s">
        <v>24</v>
      </c>
      <c r="K5" s="10">
        <v>33346</v>
      </c>
    </row>
    <row r="6" spans="1:12" x14ac:dyDescent="0.25">
      <c r="A6" s="37">
        <v>5</v>
      </c>
      <c r="B6" s="45" t="s">
        <v>35</v>
      </c>
      <c r="C6" s="45" t="s">
        <v>31</v>
      </c>
      <c r="D6" s="45" t="s">
        <v>60</v>
      </c>
      <c r="E6" s="45">
        <v>28</v>
      </c>
      <c r="F6" s="46">
        <v>34169</v>
      </c>
      <c r="G6" s="45" t="s">
        <v>36</v>
      </c>
      <c r="H6" s="47" t="s">
        <v>37</v>
      </c>
      <c r="J6" s="5" t="s">
        <v>16</v>
      </c>
      <c r="K6" s="11">
        <v>0.3263888888888889</v>
      </c>
    </row>
    <row r="7" spans="1:12" x14ac:dyDescent="0.25">
      <c r="A7" s="41">
        <v>6</v>
      </c>
      <c r="B7" s="83" t="s">
        <v>156</v>
      </c>
      <c r="C7" s="83" t="s">
        <v>152</v>
      </c>
      <c r="J7" s="71" t="s">
        <v>17</v>
      </c>
      <c r="K7" s="12">
        <v>65000</v>
      </c>
    </row>
    <row r="8" spans="1:12" x14ac:dyDescent="0.25">
      <c r="A8" s="37">
        <v>7</v>
      </c>
      <c r="B8" s="45" t="s">
        <v>26</v>
      </c>
      <c r="C8" s="45" t="s">
        <v>153</v>
      </c>
      <c r="D8" s="45"/>
      <c r="E8" s="45"/>
      <c r="F8" s="45"/>
      <c r="G8" s="45"/>
      <c r="H8" s="45"/>
      <c r="J8" s="5" t="s">
        <v>18</v>
      </c>
      <c r="K8" s="13">
        <v>120000</v>
      </c>
    </row>
    <row r="9" spans="1:12" x14ac:dyDescent="0.25">
      <c r="A9" s="41">
        <v>8</v>
      </c>
      <c r="B9" s="83" t="s">
        <v>157</v>
      </c>
      <c r="C9" s="83" t="s">
        <v>154</v>
      </c>
      <c r="F9" s="18"/>
      <c r="H9" s="18"/>
      <c r="J9" s="7" t="s">
        <v>19</v>
      </c>
      <c r="K9" s="14">
        <v>0.25</v>
      </c>
    </row>
    <row r="10" spans="1:12" x14ac:dyDescent="0.25">
      <c r="A10" s="37">
        <v>9</v>
      </c>
      <c r="B10" s="45" t="s">
        <v>158</v>
      </c>
      <c r="C10" s="45" t="s">
        <v>155</v>
      </c>
      <c r="D10" s="45"/>
      <c r="E10" s="45"/>
      <c r="F10" s="45"/>
      <c r="G10" s="45"/>
      <c r="H10" s="45"/>
      <c r="J10" s="5" t="s">
        <v>20</v>
      </c>
      <c r="K10" s="15">
        <v>0.25</v>
      </c>
    </row>
    <row r="11" spans="1:12" x14ac:dyDescent="0.25">
      <c r="A11" s="41">
        <v>10</v>
      </c>
      <c r="B11" s="83" t="s">
        <v>159</v>
      </c>
      <c r="C11" s="83" t="s">
        <v>31</v>
      </c>
      <c r="F11" s="18"/>
      <c r="H11" s="18"/>
      <c r="J11" s="16" t="s">
        <v>23</v>
      </c>
      <c r="K11" s="17">
        <v>4294967296</v>
      </c>
    </row>
    <row r="12" spans="1:12" x14ac:dyDescent="0.25">
      <c r="B12" s="18" t="s">
        <v>194</v>
      </c>
      <c r="C12" s="18" t="s">
        <v>194</v>
      </c>
      <c r="F12" s="18"/>
      <c r="H12" s="18"/>
      <c r="K12" s="2"/>
    </row>
    <row r="13" spans="1:12" x14ac:dyDescent="0.25">
      <c r="J13" s="23" t="s">
        <v>53</v>
      </c>
      <c r="K13" s="24" t="s">
        <v>42</v>
      </c>
      <c r="L13" s="25" t="s">
        <v>39</v>
      </c>
    </row>
    <row r="14" spans="1:12" x14ac:dyDescent="0.25">
      <c r="J14" s="26" t="s">
        <v>40</v>
      </c>
      <c r="K14" s="27" t="s">
        <v>43</v>
      </c>
      <c r="L14" s="28" t="s">
        <v>45</v>
      </c>
    </row>
    <row r="15" spans="1:12" x14ac:dyDescent="0.25">
      <c r="J15" s="29" t="s">
        <v>41</v>
      </c>
      <c r="K15" s="30" t="s">
        <v>44</v>
      </c>
      <c r="L15" s="31" t="s">
        <v>46</v>
      </c>
    </row>
    <row r="16" spans="1:12" x14ac:dyDescent="0.25">
      <c r="J16" s="26" t="s">
        <v>50</v>
      </c>
      <c r="K16" s="27" t="s">
        <v>51</v>
      </c>
      <c r="L16" s="28" t="s">
        <v>49</v>
      </c>
    </row>
    <row r="17" spans="10:12" x14ac:dyDescent="0.25">
      <c r="J17" s="21" t="s">
        <v>54</v>
      </c>
      <c r="K17" s="22" t="s">
        <v>52</v>
      </c>
      <c r="L17" s="32" t="s">
        <v>47</v>
      </c>
    </row>
    <row r="19" spans="10:12" x14ac:dyDescent="0.25">
      <c r="J19" t="s">
        <v>61</v>
      </c>
      <c r="K19" t="s">
        <v>62</v>
      </c>
    </row>
    <row r="20" spans="10:12" x14ac:dyDescent="0.25">
      <c r="J20" t="s">
        <v>65</v>
      </c>
      <c r="K20" t="s">
        <v>66</v>
      </c>
    </row>
    <row r="21" spans="10:12" x14ac:dyDescent="0.25">
      <c r="J21" t="s">
        <v>64</v>
      </c>
      <c r="K21" t="s">
        <v>67</v>
      </c>
    </row>
    <row r="22" spans="10:12" x14ac:dyDescent="0.25">
      <c r="J22" t="s">
        <v>63</v>
      </c>
      <c r="K22" t="s">
        <v>70</v>
      </c>
    </row>
    <row r="23" spans="10:12" x14ac:dyDescent="0.25">
      <c r="J23" t="s">
        <v>68</v>
      </c>
      <c r="K23" t="s">
        <v>69</v>
      </c>
    </row>
    <row r="24" spans="10:12" x14ac:dyDescent="0.25">
      <c r="J24" t="s">
        <v>71</v>
      </c>
      <c r="K24" t="s">
        <v>74</v>
      </c>
    </row>
    <row r="25" spans="10:12" x14ac:dyDescent="0.25">
      <c r="J25" t="s">
        <v>72</v>
      </c>
      <c r="K25" t="s">
        <v>75</v>
      </c>
    </row>
    <row r="26" spans="10:12" x14ac:dyDescent="0.25">
      <c r="J26" t="s">
        <v>73</v>
      </c>
      <c r="K26" t="s">
        <v>76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G13"/>
  <sheetViews>
    <sheetView zoomScale="145" zoomScaleNormal="145" workbookViewId="0">
      <selection activeCell="C2" sqref="C2:C13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0.5703125" bestFit="1" customWidth="1"/>
    <col min="7" max="7" width="5.85546875" bestFit="1" customWidth="1"/>
  </cols>
  <sheetData>
    <row r="1" spans="1:7" x14ac:dyDescent="0.25">
      <c r="A1" t="s">
        <v>137</v>
      </c>
      <c r="B1" t="s">
        <v>136</v>
      </c>
      <c r="C1" t="s">
        <v>138</v>
      </c>
      <c r="D1" t="s">
        <v>113</v>
      </c>
      <c r="E1" t="s">
        <v>114</v>
      </c>
      <c r="F1" t="s">
        <v>115</v>
      </c>
      <c r="G1" t="s">
        <v>139</v>
      </c>
    </row>
    <row r="2" spans="1:7" x14ac:dyDescent="0.25">
      <c r="A2">
        <v>1</v>
      </c>
      <c r="B2">
        <v>0.25</v>
      </c>
      <c r="C2" s="73" t="s">
        <v>140</v>
      </c>
      <c r="D2" t="s">
        <v>116</v>
      </c>
      <c r="E2" t="s">
        <v>117</v>
      </c>
      <c r="F2" s="70">
        <v>44805</v>
      </c>
      <c r="G2" s="74">
        <v>0</v>
      </c>
    </row>
    <row r="3" spans="1:7" x14ac:dyDescent="0.25">
      <c r="A3">
        <v>2</v>
      </c>
      <c r="B3">
        <v>0.5</v>
      </c>
      <c r="C3" s="73" t="s">
        <v>142</v>
      </c>
      <c r="D3" t="s">
        <v>118</v>
      </c>
      <c r="E3" t="s">
        <v>124</v>
      </c>
      <c r="F3" s="70">
        <v>44806</v>
      </c>
      <c r="G3" s="74">
        <v>4.1666666666666699E-2</v>
      </c>
    </row>
    <row r="4" spans="1:7" x14ac:dyDescent="0.25">
      <c r="A4">
        <v>3</v>
      </c>
      <c r="B4">
        <v>0.75</v>
      </c>
      <c r="C4" s="73" t="s">
        <v>143</v>
      </c>
      <c r="D4" t="s">
        <v>119</v>
      </c>
      <c r="E4" t="s">
        <v>125</v>
      </c>
      <c r="F4" s="70">
        <v>44807</v>
      </c>
      <c r="G4" s="74">
        <v>8.3333333333333301E-2</v>
      </c>
    </row>
    <row r="5" spans="1:7" x14ac:dyDescent="0.25">
      <c r="A5">
        <v>4</v>
      </c>
      <c r="B5">
        <v>1</v>
      </c>
      <c r="C5" s="73" t="s">
        <v>144</v>
      </c>
      <c r="D5" t="s">
        <v>120</v>
      </c>
      <c r="E5" t="s">
        <v>126</v>
      </c>
      <c r="F5" s="70">
        <v>44808</v>
      </c>
      <c r="G5" s="74">
        <v>0.125</v>
      </c>
    </row>
    <row r="6" spans="1:7" x14ac:dyDescent="0.25">
      <c r="A6">
        <v>5</v>
      </c>
      <c r="B6">
        <v>1.25</v>
      </c>
      <c r="C6" s="73" t="s">
        <v>145</v>
      </c>
      <c r="D6" t="s">
        <v>121</v>
      </c>
      <c r="E6" t="s">
        <v>127</v>
      </c>
      <c r="F6" s="70">
        <v>44809</v>
      </c>
      <c r="G6" s="74">
        <v>0.16666666666666699</v>
      </c>
    </row>
    <row r="7" spans="1:7" x14ac:dyDescent="0.25">
      <c r="A7">
        <v>6</v>
      </c>
      <c r="B7">
        <v>1.5</v>
      </c>
      <c r="C7" s="73" t="s">
        <v>146</v>
      </c>
      <c r="D7" t="s">
        <v>122</v>
      </c>
      <c r="E7" t="s">
        <v>128</v>
      </c>
      <c r="F7" s="70">
        <v>44810</v>
      </c>
      <c r="G7" s="74">
        <v>0.20833333333333301</v>
      </c>
    </row>
    <row r="8" spans="1:7" x14ac:dyDescent="0.25">
      <c r="A8">
        <v>7</v>
      </c>
      <c r="B8">
        <v>1.75</v>
      </c>
      <c r="C8" s="73" t="s">
        <v>147</v>
      </c>
      <c r="D8" t="s">
        <v>123</v>
      </c>
      <c r="E8" t="s">
        <v>129</v>
      </c>
      <c r="F8" s="70">
        <v>44811</v>
      </c>
      <c r="G8" s="74">
        <v>0.25</v>
      </c>
    </row>
    <row r="9" spans="1:7" x14ac:dyDescent="0.25">
      <c r="A9">
        <v>8</v>
      </c>
      <c r="B9">
        <v>2</v>
      </c>
      <c r="C9" s="73" t="s">
        <v>148</v>
      </c>
      <c r="D9" t="s">
        <v>116</v>
      </c>
      <c r="E9" t="s">
        <v>130</v>
      </c>
      <c r="F9" s="70">
        <v>44812</v>
      </c>
      <c r="G9" s="74">
        <v>0.29166666666666702</v>
      </c>
    </row>
    <row r="10" spans="1:7" x14ac:dyDescent="0.25">
      <c r="A10">
        <v>9</v>
      </c>
      <c r="B10">
        <v>2.25</v>
      </c>
      <c r="C10" s="73" t="s">
        <v>149</v>
      </c>
      <c r="D10" t="s">
        <v>118</v>
      </c>
      <c r="E10" t="s">
        <v>131</v>
      </c>
      <c r="F10" s="70">
        <v>44813</v>
      </c>
      <c r="G10" s="74">
        <v>0.33333333333333298</v>
      </c>
    </row>
    <row r="11" spans="1:7" x14ac:dyDescent="0.25">
      <c r="A11">
        <v>10</v>
      </c>
      <c r="B11">
        <v>2.5</v>
      </c>
      <c r="C11" s="73" t="s">
        <v>150</v>
      </c>
      <c r="D11" t="s">
        <v>119</v>
      </c>
      <c r="E11" t="s">
        <v>132</v>
      </c>
      <c r="F11" s="70">
        <v>44814</v>
      </c>
      <c r="G11" s="74">
        <v>0.375</v>
      </c>
    </row>
    <row r="12" spans="1:7" x14ac:dyDescent="0.25">
      <c r="A12">
        <v>11</v>
      </c>
      <c r="B12">
        <v>2.75</v>
      </c>
      <c r="C12" s="73" t="s">
        <v>151</v>
      </c>
      <c r="D12" t="s">
        <v>120</v>
      </c>
      <c r="E12" t="s">
        <v>133</v>
      </c>
      <c r="F12" s="70">
        <v>44815</v>
      </c>
      <c r="G12" s="74">
        <v>0.41666666666666702</v>
      </c>
    </row>
    <row r="13" spans="1:7" x14ac:dyDescent="0.25">
      <c r="A13">
        <v>12</v>
      </c>
      <c r="B13">
        <v>3</v>
      </c>
      <c r="C13" s="73" t="s">
        <v>141</v>
      </c>
      <c r="D13" t="s">
        <v>121</v>
      </c>
      <c r="E13" t="s">
        <v>134</v>
      </c>
      <c r="F13" s="70">
        <v>44816</v>
      </c>
      <c r="G13" s="74">
        <v>0.45833333333333298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dimension ref="A1:AO14"/>
  <sheetViews>
    <sheetView tabSelected="1" zoomScale="130" zoomScaleNormal="130" workbookViewId="0">
      <pane xSplit="1" ySplit="1" topLeftCell="A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baseColWidth="10" defaultRowHeight="15" x14ac:dyDescent="0.25"/>
  <cols>
    <col min="1" max="1" width="17.5703125" bestFit="1" customWidth="1"/>
    <col min="2" max="31" width="5.140625" style="72" customWidth="1"/>
    <col min="32" max="32" width="6.28515625" customWidth="1"/>
    <col min="33" max="33" width="7.42578125" customWidth="1"/>
    <col min="34" max="34" width="13.7109375" bestFit="1" customWidth="1"/>
    <col min="35" max="35" width="4" customWidth="1"/>
    <col min="36" max="36" width="11.85546875" bestFit="1" customWidth="1"/>
    <col min="37" max="37" width="7.140625" bestFit="1" customWidth="1"/>
    <col min="38" max="38" width="7.7109375" bestFit="1" customWidth="1"/>
    <col min="39" max="39" width="5.28515625" bestFit="1" customWidth="1"/>
    <col min="40" max="40" width="11.28515625" bestFit="1" customWidth="1"/>
    <col min="41" max="41" width="7.7109375" bestFit="1" customWidth="1"/>
    <col min="42" max="42" width="9" customWidth="1"/>
  </cols>
  <sheetData>
    <row r="1" spans="1:41" ht="47.25" customHeight="1" x14ac:dyDescent="0.25">
      <c r="A1" s="24" t="s">
        <v>160</v>
      </c>
      <c r="B1" s="75" t="s">
        <v>162</v>
      </c>
      <c r="C1" s="75" t="s">
        <v>163</v>
      </c>
      <c r="D1" s="75" t="s">
        <v>164</v>
      </c>
      <c r="E1" s="75" t="s">
        <v>165</v>
      </c>
      <c r="F1" s="75" t="s">
        <v>166</v>
      </c>
      <c r="G1" s="75" t="s">
        <v>167</v>
      </c>
      <c r="H1" s="75" t="s">
        <v>168</v>
      </c>
      <c r="I1" s="75" t="s">
        <v>169</v>
      </c>
      <c r="J1" s="75" t="s">
        <v>170</v>
      </c>
      <c r="K1" s="75" t="s">
        <v>171</v>
      </c>
      <c r="L1" s="75" t="s">
        <v>172</v>
      </c>
      <c r="M1" s="75" t="s">
        <v>173</v>
      </c>
      <c r="N1" s="75" t="s">
        <v>174</v>
      </c>
      <c r="O1" s="75" t="s">
        <v>175</v>
      </c>
      <c r="P1" s="75" t="s">
        <v>176</v>
      </c>
      <c r="Q1" s="75" t="s">
        <v>177</v>
      </c>
      <c r="R1" s="75" t="s">
        <v>178</v>
      </c>
      <c r="S1" s="75" t="s">
        <v>179</v>
      </c>
      <c r="T1" s="75" t="s">
        <v>180</v>
      </c>
      <c r="U1" s="75" t="s">
        <v>181</v>
      </c>
      <c r="V1" s="75" t="s">
        <v>182</v>
      </c>
      <c r="W1" s="75" t="s">
        <v>183</v>
      </c>
      <c r="X1" s="75" t="s">
        <v>184</v>
      </c>
      <c r="Y1" s="75" t="s">
        <v>185</v>
      </c>
      <c r="Z1" s="75" t="s">
        <v>186</v>
      </c>
      <c r="AA1" s="75" t="s">
        <v>187</v>
      </c>
      <c r="AB1" s="75" t="s">
        <v>188</v>
      </c>
      <c r="AC1" s="75" t="s">
        <v>189</v>
      </c>
      <c r="AD1" s="75" t="s">
        <v>190</v>
      </c>
      <c r="AE1" s="75" t="s">
        <v>191</v>
      </c>
      <c r="AF1" s="50" t="s">
        <v>193</v>
      </c>
      <c r="AG1" s="84" t="s">
        <v>192</v>
      </c>
      <c r="AH1" s="84" t="s">
        <v>202</v>
      </c>
      <c r="AJ1" s="23" t="s">
        <v>201</v>
      </c>
      <c r="AK1" s="24" t="s">
        <v>199</v>
      </c>
      <c r="AL1" s="50" t="s">
        <v>200</v>
      </c>
      <c r="AN1" s="91" t="s">
        <v>204</v>
      </c>
      <c r="AO1" s="92" t="s">
        <v>203</v>
      </c>
    </row>
    <row r="2" spans="1:41" x14ac:dyDescent="0.25">
      <c r="A2" s="76" t="str">
        <f>_xlfn.CONCAT(intro!C2&amp;" "&amp;intro!B2)</f>
        <v>Racedo Cristián</v>
      </c>
      <c r="B2" s="76" t="s">
        <v>161</v>
      </c>
      <c r="C2" s="76" t="s">
        <v>161</v>
      </c>
      <c r="D2" s="76" t="s">
        <v>194</v>
      </c>
      <c r="E2" s="76"/>
      <c r="F2" s="76" t="s">
        <v>161</v>
      </c>
      <c r="G2" s="76" t="s">
        <v>161</v>
      </c>
      <c r="H2" s="76" t="s">
        <v>161</v>
      </c>
      <c r="I2" s="76" t="s">
        <v>161</v>
      </c>
      <c r="J2" s="76" t="s">
        <v>161</v>
      </c>
      <c r="K2" s="76" t="s">
        <v>194</v>
      </c>
      <c r="L2" s="76"/>
      <c r="M2" s="76" t="s">
        <v>161</v>
      </c>
      <c r="N2" s="76" t="s">
        <v>161</v>
      </c>
      <c r="O2" s="76" t="s">
        <v>161</v>
      </c>
      <c r="P2" s="76" t="s">
        <v>161</v>
      </c>
      <c r="Q2" s="76" t="s">
        <v>161</v>
      </c>
      <c r="R2" s="76"/>
      <c r="S2" s="76" t="s">
        <v>194</v>
      </c>
      <c r="T2" s="76" t="s">
        <v>161</v>
      </c>
      <c r="U2" s="76" t="s">
        <v>161</v>
      </c>
      <c r="V2" s="76" t="s">
        <v>161</v>
      </c>
      <c r="W2" s="76" t="s">
        <v>161</v>
      </c>
      <c r="X2" s="76" t="s">
        <v>161</v>
      </c>
      <c r="Y2" s="76" t="s">
        <v>194</v>
      </c>
      <c r="Z2" s="76" t="s">
        <v>194</v>
      </c>
      <c r="AA2" s="76" t="s">
        <v>161</v>
      </c>
      <c r="AB2" s="76" t="s">
        <v>161</v>
      </c>
      <c r="AC2" s="76" t="s">
        <v>161</v>
      </c>
      <c r="AD2" s="76" t="s">
        <v>161</v>
      </c>
      <c r="AE2" s="76" t="s">
        <v>161</v>
      </c>
      <c r="AF2" s="79">
        <f t="shared" ref="AF2:AF11" si="0">COUNTBLANK(B2:AE2)</f>
        <v>8</v>
      </c>
      <c r="AG2" s="85">
        <f>COUNTA($B$1:$AE$1) - AF2</f>
        <v>22</v>
      </c>
      <c r="AH2" s="86" cm="1">
        <f t="array" ref="AH2">AG2*valor_hora*jornada</f>
        <v>88000</v>
      </c>
      <c r="AJ2" s="26" t="s">
        <v>107</v>
      </c>
      <c r="AK2" s="88">
        <f>AVERAGE(asist)</f>
        <v>16.7</v>
      </c>
      <c r="AL2" s="89">
        <f>AVERAGE(aus)</f>
        <v>13.3</v>
      </c>
      <c r="AN2" s="93">
        <v>500</v>
      </c>
      <c r="AO2" s="94">
        <v>8</v>
      </c>
    </row>
    <row r="3" spans="1:41" x14ac:dyDescent="0.25">
      <c r="A3" s="77" t="str">
        <f>_xlfn.CONCAT(intro!C3&amp;" "&amp;intro!B3)</f>
        <v>Perez Juan</v>
      </c>
      <c r="B3" s="77" t="s">
        <v>161</v>
      </c>
      <c r="C3" s="77"/>
      <c r="D3" s="77"/>
      <c r="E3" s="77"/>
      <c r="F3" s="77" t="s">
        <v>161</v>
      </c>
      <c r="G3" s="77" t="s">
        <v>161</v>
      </c>
      <c r="H3" s="77" t="s">
        <v>194</v>
      </c>
      <c r="I3" s="77" t="s">
        <v>161</v>
      </c>
      <c r="J3" s="77" t="s">
        <v>194</v>
      </c>
      <c r="K3" s="77" t="s">
        <v>161</v>
      </c>
      <c r="L3" s="77"/>
      <c r="M3" s="77" t="s">
        <v>161</v>
      </c>
      <c r="N3" s="77" t="s">
        <v>194</v>
      </c>
      <c r="O3" s="77" t="s">
        <v>161</v>
      </c>
      <c r="P3" s="77" t="s">
        <v>161</v>
      </c>
      <c r="Q3" s="77" t="s">
        <v>161</v>
      </c>
      <c r="R3" s="77" t="s">
        <v>194</v>
      </c>
      <c r="S3" s="77" t="s">
        <v>194</v>
      </c>
      <c r="T3" s="77" t="s">
        <v>161</v>
      </c>
      <c r="U3" s="77" t="s">
        <v>161</v>
      </c>
      <c r="V3" s="77" t="s">
        <v>194</v>
      </c>
      <c r="W3" s="77" t="s">
        <v>161</v>
      </c>
      <c r="X3" s="77" t="s">
        <v>194</v>
      </c>
      <c r="Y3" s="77" t="s">
        <v>161</v>
      </c>
      <c r="Z3" s="77" t="s">
        <v>194</v>
      </c>
      <c r="AA3" s="77" t="s">
        <v>161</v>
      </c>
      <c r="AB3" s="77" t="s">
        <v>161</v>
      </c>
      <c r="AC3" s="77" t="s">
        <v>161</v>
      </c>
      <c r="AD3" s="77"/>
      <c r="AE3" s="77" t="s">
        <v>161</v>
      </c>
      <c r="AF3" s="80">
        <f t="shared" si="0"/>
        <v>13</v>
      </c>
      <c r="AG3" s="85">
        <f t="shared" ref="AG3:AG11" si="1">COUNTA($B$1:$AE$1) - AF3</f>
        <v>17</v>
      </c>
      <c r="AH3" s="86" cm="1">
        <f t="array" ref="AH3">AG3*valor_hora*jornada</f>
        <v>68000</v>
      </c>
      <c r="AJ3" s="29" t="s">
        <v>195</v>
      </c>
      <c r="AK3" s="52">
        <f>MAX(asist)</f>
        <v>22</v>
      </c>
      <c r="AL3" s="53">
        <f>MAX(aus)</f>
        <v>17</v>
      </c>
    </row>
    <row r="4" spans="1:41" x14ac:dyDescent="0.25">
      <c r="A4" s="76" t="str">
        <f>_xlfn.CONCAT(intro!C4&amp;" "&amp;intro!B4)</f>
        <v>Gomez Gonzalo</v>
      </c>
      <c r="B4" s="76"/>
      <c r="C4" s="76" t="s">
        <v>161</v>
      </c>
      <c r="D4" s="76"/>
      <c r="E4" s="76"/>
      <c r="F4" s="76" t="s">
        <v>161</v>
      </c>
      <c r="G4" s="76"/>
      <c r="H4" s="76" t="s">
        <v>161</v>
      </c>
      <c r="I4" s="76" t="s">
        <v>161</v>
      </c>
      <c r="J4" s="76"/>
      <c r="K4" s="76" t="s">
        <v>161</v>
      </c>
      <c r="L4" s="76"/>
      <c r="M4" s="76" t="s">
        <v>161</v>
      </c>
      <c r="N4" s="76" t="s">
        <v>161</v>
      </c>
      <c r="O4" s="76" t="s">
        <v>194</v>
      </c>
      <c r="P4" s="76" t="s">
        <v>161</v>
      </c>
      <c r="Q4" s="76" t="s">
        <v>194</v>
      </c>
      <c r="R4" s="76" t="s">
        <v>194</v>
      </c>
      <c r="S4" s="76"/>
      <c r="T4" s="76" t="s">
        <v>161</v>
      </c>
      <c r="U4" s="76" t="s">
        <v>194</v>
      </c>
      <c r="V4" s="76" t="s">
        <v>161</v>
      </c>
      <c r="W4" s="76" t="s">
        <v>194</v>
      </c>
      <c r="X4" s="76" t="s">
        <v>161</v>
      </c>
      <c r="Y4" s="76" t="s">
        <v>194</v>
      </c>
      <c r="Z4" s="76" t="s">
        <v>194</v>
      </c>
      <c r="AA4" s="76" t="s">
        <v>161</v>
      </c>
      <c r="AB4" s="76" t="s">
        <v>194</v>
      </c>
      <c r="AC4" s="76" t="s">
        <v>161</v>
      </c>
      <c r="AD4" s="76" t="s">
        <v>161</v>
      </c>
      <c r="AE4" s="76"/>
      <c r="AF4" s="79">
        <f>COUNTBLANK(B4:AE4)</f>
        <v>16</v>
      </c>
      <c r="AG4" s="85">
        <f t="shared" si="1"/>
        <v>14</v>
      </c>
      <c r="AH4" s="86" cm="1">
        <f t="array" ref="AH4">AG4*valor_hora*jornada</f>
        <v>56000</v>
      </c>
      <c r="AJ4" s="26" t="s">
        <v>196</v>
      </c>
      <c r="AK4" s="51">
        <f>MIN(asist)</f>
        <v>13</v>
      </c>
      <c r="AL4" s="6">
        <f>MIN(aus)</f>
        <v>8</v>
      </c>
      <c r="AO4" s="73"/>
    </row>
    <row r="5" spans="1:41" x14ac:dyDescent="0.25">
      <c r="A5" s="77" t="str">
        <f>_xlfn.CONCAT(intro!C5&amp;" "&amp;intro!B5)</f>
        <v>Fernandez Daniela</v>
      </c>
      <c r="B5" s="77" t="s">
        <v>161</v>
      </c>
      <c r="C5" s="77" t="s">
        <v>161</v>
      </c>
      <c r="D5" s="77" t="s">
        <v>161</v>
      </c>
      <c r="E5" s="77"/>
      <c r="F5" s="77"/>
      <c r="G5" s="77" t="s">
        <v>161</v>
      </c>
      <c r="H5" s="77"/>
      <c r="I5" s="77" t="s">
        <v>161</v>
      </c>
      <c r="J5" s="77" t="s">
        <v>161</v>
      </c>
      <c r="K5" s="77" t="s">
        <v>161</v>
      </c>
      <c r="L5" s="77"/>
      <c r="M5" s="77" t="s">
        <v>161</v>
      </c>
      <c r="N5" s="77" t="s">
        <v>161</v>
      </c>
      <c r="O5" s="77" t="s">
        <v>194</v>
      </c>
      <c r="P5" s="77" t="s">
        <v>161</v>
      </c>
      <c r="Q5" s="77" t="s">
        <v>161</v>
      </c>
      <c r="R5" s="77" t="s">
        <v>194</v>
      </c>
      <c r="S5" s="77" t="s">
        <v>194</v>
      </c>
      <c r="T5" s="77" t="s">
        <v>161</v>
      </c>
      <c r="U5" s="77" t="s">
        <v>194</v>
      </c>
      <c r="V5" s="77" t="s">
        <v>161</v>
      </c>
      <c r="W5" s="77" t="s">
        <v>161</v>
      </c>
      <c r="X5" s="77" t="s">
        <v>194</v>
      </c>
      <c r="Y5" s="77" t="s">
        <v>161</v>
      </c>
      <c r="Z5" s="77" t="s">
        <v>194</v>
      </c>
      <c r="AA5" s="77" t="s">
        <v>161</v>
      </c>
      <c r="AB5" s="77" t="s">
        <v>161</v>
      </c>
      <c r="AC5" s="77" t="s">
        <v>161</v>
      </c>
      <c r="AD5" s="77"/>
      <c r="AE5" s="77" t="s">
        <v>161</v>
      </c>
      <c r="AF5" s="80">
        <f t="shared" si="0"/>
        <v>11</v>
      </c>
      <c r="AG5" s="85">
        <f t="shared" si="1"/>
        <v>19</v>
      </c>
      <c r="AH5" s="86" cm="1">
        <f t="array" ref="AH5">AG5*valor_hora*jornada</f>
        <v>76000</v>
      </c>
      <c r="AJ5" s="29" t="s">
        <v>197</v>
      </c>
      <c r="AK5" s="52">
        <f>MODE(asist)</f>
        <v>17</v>
      </c>
      <c r="AL5" s="53">
        <f>MODE(aus)</f>
        <v>13</v>
      </c>
    </row>
    <row r="6" spans="1:41" x14ac:dyDescent="0.25">
      <c r="A6" s="76" t="str">
        <f>_xlfn.CONCAT(intro!C6&amp;" "&amp;intro!B6)</f>
        <v>Lopez Carla</v>
      </c>
      <c r="B6" s="76" t="s">
        <v>161</v>
      </c>
      <c r="C6" s="76"/>
      <c r="D6" s="76" t="s">
        <v>161</v>
      </c>
      <c r="E6" s="76"/>
      <c r="F6" s="76" t="s">
        <v>161</v>
      </c>
      <c r="G6" s="76" t="s">
        <v>161</v>
      </c>
      <c r="H6" s="76" t="s">
        <v>161</v>
      </c>
      <c r="I6" s="76" t="s">
        <v>161</v>
      </c>
      <c r="J6" s="76"/>
      <c r="K6" s="76" t="s">
        <v>161</v>
      </c>
      <c r="L6" s="76"/>
      <c r="M6" s="76" t="s">
        <v>194</v>
      </c>
      <c r="N6" s="76" t="s">
        <v>161</v>
      </c>
      <c r="O6" s="76" t="s">
        <v>161</v>
      </c>
      <c r="P6" s="76" t="s">
        <v>194</v>
      </c>
      <c r="Q6" s="76" t="s">
        <v>161</v>
      </c>
      <c r="R6" s="76" t="s">
        <v>194</v>
      </c>
      <c r="S6" s="76" t="s">
        <v>194</v>
      </c>
      <c r="T6" s="76" t="s">
        <v>161</v>
      </c>
      <c r="U6" s="76" t="s">
        <v>161</v>
      </c>
      <c r="V6" s="76" t="s">
        <v>194</v>
      </c>
      <c r="W6" s="76" t="s">
        <v>161</v>
      </c>
      <c r="X6" s="76" t="s">
        <v>161</v>
      </c>
      <c r="Y6" s="76" t="s">
        <v>194</v>
      </c>
      <c r="Z6" s="76" t="s">
        <v>194</v>
      </c>
      <c r="AA6" s="76" t="s">
        <v>161</v>
      </c>
      <c r="AB6" s="76" t="s">
        <v>194</v>
      </c>
      <c r="AC6" s="76" t="s">
        <v>161</v>
      </c>
      <c r="AD6" s="76" t="s">
        <v>161</v>
      </c>
      <c r="AE6" s="76"/>
      <c r="AF6" s="79">
        <f t="shared" si="0"/>
        <v>13</v>
      </c>
      <c r="AG6" s="85">
        <f t="shared" si="1"/>
        <v>17</v>
      </c>
      <c r="AH6" s="86" cm="1">
        <f t="array" ref="AH6">AG6*valor_hora*jornada</f>
        <v>68000</v>
      </c>
      <c r="AJ6" s="26" t="s">
        <v>198</v>
      </c>
      <c r="AK6" s="88">
        <f>MEDIAN(asist)</f>
        <v>16.5</v>
      </c>
      <c r="AL6" s="89">
        <f>MEDIAN(aus)</f>
        <v>13.5</v>
      </c>
    </row>
    <row r="7" spans="1:41" x14ac:dyDescent="0.25">
      <c r="A7" s="77" t="str">
        <f>_xlfn.CONCAT(intro!C7&amp;" "&amp;intro!B7)</f>
        <v>Martinez Mariano</v>
      </c>
      <c r="B7" s="77"/>
      <c r="C7" s="77" t="s">
        <v>161</v>
      </c>
      <c r="D7" s="77" t="s">
        <v>161</v>
      </c>
      <c r="E7" s="77"/>
      <c r="F7" s="77"/>
      <c r="G7" s="77" t="s">
        <v>161</v>
      </c>
      <c r="H7" s="77" t="s">
        <v>161</v>
      </c>
      <c r="I7" s="77"/>
      <c r="J7" s="77" t="s">
        <v>161</v>
      </c>
      <c r="K7" s="77"/>
      <c r="L7" s="77"/>
      <c r="M7" s="77" t="s">
        <v>161</v>
      </c>
      <c r="N7" s="77" t="s">
        <v>161</v>
      </c>
      <c r="O7" s="77" t="s">
        <v>194</v>
      </c>
      <c r="P7" s="77" t="s">
        <v>161</v>
      </c>
      <c r="Q7" s="77" t="s">
        <v>161</v>
      </c>
      <c r="R7" s="77" t="s">
        <v>194</v>
      </c>
      <c r="S7" s="77" t="s">
        <v>194</v>
      </c>
      <c r="T7" s="77" t="s">
        <v>161</v>
      </c>
      <c r="U7" s="77" t="s">
        <v>194</v>
      </c>
      <c r="V7" s="77" t="s">
        <v>194</v>
      </c>
      <c r="W7" s="77" t="s">
        <v>161</v>
      </c>
      <c r="X7" s="77" t="s">
        <v>161</v>
      </c>
      <c r="Y7" s="77" t="s">
        <v>161</v>
      </c>
      <c r="Z7" s="77" t="s">
        <v>194</v>
      </c>
      <c r="AA7" s="77" t="s">
        <v>161</v>
      </c>
      <c r="AB7" s="77"/>
      <c r="AC7" s="77" t="s">
        <v>161</v>
      </c>
      <c r="AD7" s="77"/>
      <c r="AE7" s="77" t="s">
        <v>161</v>
      </c>
      <c r="AF7" s="80">
        <f t="shared" si="0"/>
        <v>14</v>
      </c>
      <c r="AG7" s="85">
        <f t="shared" si="1"/>
        <v>16</v>
      </c>
      <c r="AH7" s="86" cm="1">
        <f t="array" ref="AH7">AG7*valor_hora*jornada</f>
        <v>64000</v>
      </c>
      <c r="AJ7" s="21" t="s">
        <v>112</v>
      </c>
      <c r="AK7" s="90">
        <f>SUM(asist)</f>
        <v>167</v>
      </c>
      <c r="AL7" s="49">
        <f>SUM(aus)</f>
        <v>133</v>
      </c>
    </row>
    <row r="8" spans="1:41" x14ac:dyDescent="0.25">
      <c r="A8" s="76" t="str">
        <f>_xlfn.CONCAT(intro!C8&amp;" "&amp;intro!B8)</f>
        <v>Gonzalez Gonzalo</v>
      </c>
      <c r="B8" s="76" t="s">
        <v>161</v>
      </c>
      <c r="C8" s="76" t="s">
        <v>161</v>
      </c>
      <c r="D8" s="76" t="s">
        <v>194</v>
      </c>
      <c r="E8" s="76"/>
      <c r="F8" s="76" t="s">
        <v>161</v>
      </c>
      <c r="G8" s="76" t="s">
        <v>194</v>
      </c>
      <c r="H8" s="76" t="s">
        <v>194</v>
      </c>
      <c r="I8" s="76"/>
      <c r="J8" s="76"/>
      <c r="K8" s="76"/>
      <c r="L8" s="76"/>
      <c r="M8" s="76" t="s">
        <v>161</v>
      </c>
      <c r="N8" s="76" t="s">
        <v>194</v>
      </c>
      <c r="O8" s="76" t="s">
        <v>161</v>
      </c>
      <c r="P8" s="76" t="s">
        <v>161</v>
      </c>
      <c r="Q8" s="76" t="s">
        <v>161</v>
      </c>
      <c r="R8" s="76" t="s">
        <v>194</v>
      </c>
      <c r="S8" s="76" t="s">
        <v>194</v>
      </c>
      <c r="T8" s="76"/>
      <c r="U8" s="76"/>
      <c r="V8" s="76"/>
      <c r="W8" s="76" t="s">
        <v>194</v>
      </c>
      <c r="X8" s="76" t="s">
        <v>161</v>
      </c>
      <c r="Y8" s="76" t="s">
        <v>161</v>
      </c>
      <c r="Z8" s="76"/>
      <c r="AA8" s="76"/>
      <c r="AB8" s="76" t="s">
        <v>161</v>
      </c>
      <c r="AC8" s="76" t="s">
        <v>161</v>
      </c>
      <c r="AD8" s="76" t="s">
        <v>161</v>
      </c>
      <c r="AE8" s="76" t="s">
        <v>161</v>
      </c>
      <c r="AF8" s="79">
        <f t="shared" si="0"/>
        <v>17</v>
      </c>
      <c r="AG8" s="85">
        <f t="shared" si="1"/>
        <v>13</v>
      </c>
      <c r="AH8" s="86" cm="1">
        <f t="array" ref="AH8">AG8*valor_hora*jornada</f>
        <v>52000</v>
      </c>
    </row>
    <row r="9" spans="1:41" x14ac:dyDescent="0.25">
      <c r="A9" s="77" t="str">
        <f>_xlfn.CONCAT(intro!C9&amp;" "&amp;intro!B9)</f>
        <v>Jimenez Jorge</v>
      </c>
      <c r="B9" s="77" t="s">
        <v>161</v>
      </c>
      <c r="C9" s="77"/>
      <c r="D9" s="77" t="s">
        <v>161</v>
      </c>
      <c r="E9" s="77"/>
      <c r="F9" s="77" t="s">
        <v>161</v>
      </c>
      <c r="G9" s="77" t="s">
        <v>161</v>
      </c>
      <c r="H9" s="77"/>
      <c r="I9" s="77"/>
      <c r="J9" s="77" t="s">
        <v>161</v>
      </c>
      <c r="K9" s="77"/>
      <c r="L9" s="77"/>
      <c r="M9" s="77" t="s">
        <v>161</v>
      </c>
      <c r="N9" s="77" t="s">
        <v>161</v>
      </c>
      <c r="O9" s="77" t="s">
        <v>194</v>
      </c>
      <c r="P9" s="77" t="s">
        <v>161</v>
      </c>
      <c r="Q9" s="77" t="s">
        <v>194</v>
      </c>
      <c r="R9" s="77" t="s">
        <v>194</v>
      </c>
      <c r="S9" s="77" t="s">
        <v>194</v>
      </c>
      <c r="T9" s="77" t="s">
        <v>161</v>
      </c>
      <c r="U9" s="77" t="s">
        <v>161</v>
      </c>
      <c r="V9" s="77" t="s">
        <v>161</v>
      </c>
      <c r="W9" s="77" t="s">
        <v>161</v>
      </c>
      <c r="X9" s="77" t="s">
        <v>161</v>
      </c>
      <c r="Y9" s="77" t="s">
        <v>161</v>
      </c>
      <c r="Z9" s="77"/>
      <c r="AA9" s="77" t="s">
        <v>161</v>
      </c>
      <c r="AB9" s="77"/>
      <c r="AC9" s="77" t="s">
        <v>161</v>
      </c>
      <c r="AD9" s="77" t="s">
        <v>161</v>
      </c>
      <c r="AE9" s="77" t="s">
        <v>161</v>
      </c>
      <c r="AF9" s="80">
        <f t="shared" si="0"/>
        <v>12</v>
      </c>
      <c r="AG9" s="85">
        <f t="shared" si="1"/>
        <v>18</v>
      </c>
      <c r="AH9" s="86" cm="1">
        <f t="array" ref="AH9">AG9*valor_hora*jornada</f>
        <v>72000</v>
      </c>
    </row>
    <row r="10" spans="1:41" x14ac:dyDescent="0.25">
      <c r="A10" s="76" t="str">
        <f>_xlfn.CONCAT(intro!C10&amp;" "&amp;intro!B10)</f>
        <v>Gimenez Gabriela</v>
      </c>
      <c r="B10" s="76" t="s">
        <v>161</v>
      </c>
      <c r="C10" s="76" t="s">
        <v>161</v>
      </c>
      <c r="D10" s="76"/>
      <c r="E10" s="76"/>
      <c r="F10" s="76"/>
      <c r="G10" s="76"/>
      <c r="H10" s="76" t="s">
        <v>161</v>
      </c>
      <c r="I10" s="76" t="s">
        <v>161</v>
      </c>
      <c r="J10" s="76" t="s">
        <v>161</v>
      </c>
      <c r="K10" s="76" t="s">
        <v>194</v>
      </c>
      <c r="L10" s="76"/>
      <c r="M10" s="76" t="s">
        <v>161</v>
      </c>
      <c r="N10" s="76" t="s">
        <v>161</v>
      </c>
      <c r="O10" s="76" t="s">
        <v>194</v>
      </c>
      <c r="P10" s="76" t="s">
        <v>161</v>
      </c>
      <c r="Q10" s="76" t="s">
        <v>194</v>
      </c>
      <c r="R10" s="76" t="s">
        <v>194</v>
      </c>
      <c r="S10" s="76" t="s">
        <v>194</v>
      </c>
      <c r="T10" s="76"/>
      <c r="U10" s="76" t="s">
        <v>161</v>
      </c>
      <c r="V10" s="76" t="s">
        <v>161</v>
      </c>
      <c r="W10" s="76" t="s">
        <v>161</v>
      </c>
      <c r="X10" s="76"/>
      <c r="Y10" s="76"/>
      <c r="Z10" s="76"/>
      <c r="AA10" s="76" t="s">
        <v>161</v>
      </c>
      <c r="AB10" s="76" t="s">
        <v>161</v>
      </c>
      <c r="AC10" s="76" t="s">
        <v>161</v>
      </c>
      <c r="AD10" s="76" t="s">
        <v>161</v>
      </c>
      <c r="AE10" s="76"/>
      <c r="AF10" s="79">
        <f t="shared" si="0"/>
        <v>15</v>
      </c>
      <c r="AG10" s="85">
        <f t="shared" si="1"/>
        <v>15</v>
      </c>
      <c r="AH10" s="86" cm="1">
        <f t="array" ref="AH10">AG10*valor_hora*jornada</f>
        <v>60000</v>
      </c>
    </row>
    <row r="11" spans="1:41" x14ac:dyDescent="0.25">
      <c r="A11" s="78" t="str">
        <f>_xlfn.CONCAT(intro!C11&amp;" "&amp;intro!B11)</f>
        <v>Lopez Laura</v>
      </c>
      <c r="B11" s="78" t="s">
        <v>161</v>
      </c>
      <c r="C11" s="78"/>
      <c r="D11" s="78" t="s">
        <v>161</v>
      </c>
      <c r="E11" s="78"/>
      <c r="F11" s="78" t="s">
        <v>161</v>
      </c>
      <c r="G11" s="78" t="s">
        <v>161</v>
      </c>
      <c r="H11" s="78"/>
      <c r="I11" s="78" t="s">
        <v>161</v>
      </c>
      <c r="J11" s="78" t="s">
        <v>161</v>
      </c>
      <c r="K11" s="78" t="s">
        <v>161</v>
      </c>
      <c r="L11" s="78"/>
      <c r="M11" s="78" t="s">
        <v>161</v>
      </c>
      <c r="N11" s="78" t="s">
        <v>161</v>
      </c>
      <c r="O11" s="78" t="s">
        <v>161</v>
      </c>
      <c r="P11" s="78" t="s">
        <v>161</v>
      </c>
      <c r="Q11" s="78" t="s">
        <v>161</v>
      </c>
      <c r="R11" s="78" t="s">
        <v>194</v>
      </c>
      <c r="S11" s="78" t="s">
        <v>194</v>
      </c>
      <c r="T11" s="78" t="s">
        <v>161</v>
      </c>
      <c r="U11" s="78" t="s">
        <v>161</v>
      </c>
      <c r="V11" s="78" t="s">
        <v>194</v>
      </c>
      <c r="W11" s="78" t="s">
        <v>194</v>
      </c>
      <c r="X11" s="78" t="s">
        <v>194</v>
      </c>
      <c r="Y11" s="78" t="s">
        <v>161</v>
      </c>
      <c r="Z11" s="78" t="s">
        <v>194</v>
      </c>
      <c r="AA11" s="78" t="s">
        <v>161</v>
      </c>
      <c r="AB11" s="78"/>
      <c r="AC11" s="78"/>
      <c r="AD11" s="78"/>
      <c r="AE11" s="78"/>
      <c r="AF11" s="80">
        <f t="shared" si="0"/>
        <v>14</v>
      </c>
      <c r="AG11" s="85">
        <f t="shared" si="1"/>
        <v>16</v>
      </c>
      <c r="AH11" s="86" cm="1">
        <f t="array" ref="AH11">AG11*valor_hora*jornada</f>
        <v>64000</v>
      </c>
    </row>
    <row r="12" spans="1:41" x14ac:dyDescent="0.25">
      <c r="A12" s="105" t="s">
        <v>112</v>
      </c>
      <c r="B12" s="105">
        <f t="shared" ref="B12:AD12" si="2">COUNTBLANK(B2:B11)</f>
        <v>2</v>
      </c>
      <c r="C12" s="105">
        <f t="shared" si="2"/>
        <v>4</v>
      </c>
      <c r="D12" s="105">
        <f t="shared" si="2"/>
        <v>5</v>
      </c>
      <c r="E12" s="105">
        <f t="shared" si="2"/>
        <v>10</v>
      </c>
      <c r="F12" s="105">
        <f t="shared" si="2"/>
        <v>3</v>
      </c>
      <c r="G12" s="105">
        <f t="shared" si="2"/>
        <v>3</v>
      </c>
      <c r="H12" s="105">
        <f t="shared" si="2"/>
        <v>5</v>
      </c>
      <c r="I12" s="105">
        <f t="shared" si="2"/>
        <v>3</v>
      </c>
      <c r="J12" s="105">
        <f t="shared" si="2"/>
        <v>4</v>
      </c>
      <c r="K12" s="105">
        <f t="shared" si="2"/>
        <v>5</v>
      </c>
      <c r="L12" s="105">
        <f t="shared" si="2"/>
        <v>10</v>
      </c>
      <c r="M12" s="105">
        <f t="shared" si="2"/>
        <v>1</v>
      </c>
      <c r="N12" s="105">
        <f t="shared" si="2"/>
        <v>2</v>
      </c>
      <c r="O12" s="105">
        <f t="shared" si="2"/>
        <v>5</v>
      </c>
      <c r="P12" s="105">
        <f t="shared" si="2"/>
        <v>1</v>
      </c>
      <c r="Q12" s="105">
        <f t="shared" si="2"/>
        <v>3</v>
      </c>
      <c r="R12" s="105">
        <f t="shared" si="2"/>
        <v>10</v>
      </c>
      <c r="S12" s="105">
        <f t="shared" si="2"/>
        <v>10</v>
      </c>
      <c r="T12" s="105">
        <f t="shared" si="2"/>
        <v>2</v>
      </c>
      <c r="U12" s="105">
        <f t="shared" si="2"/>
        <v>4</v>
      </c>
      <c r="V12" s="105">
        <f t="shared" si="2"/>
        <v>5</v>
      </c>
      <c r="W12" s="105">
        <f t="shared" si="2"/>
        <v>3</v>
      </c>
      <c r="X12" s="105">
        <f t="shared" si="2"/>
        <v>4</v>
      </c>
      <c r="Y12" s="105">
        <f t="shared" si="2"/>
        <v>4</v>
      </c>
      <c r="Z12" s="105">
        <f t="shared" si="2"/>
        <v>10</v>
      </c>
      <c r="AA12" s="105">
        <f t="shared" si="2"/>
        <v>1</v>
      </c>
      <c r="AB12" s="105">
        <f t="shared" si="2"/>
        <v>5</v>
      </c>
      <c r="AC12" s="105">
        <f t="shared" si="2"/>
        <v>1</v>
      </c>
      <c r="AD12" s="105">
        <f t="shared" si="2"/>
        <v>4</v>
      </c>
      <c r="AE12" s="105">
        <f>COUNTBLANK(AE2:AE11)</f>
        <v>4</v>
      </c>
      <c r="AF12" s="106">
        <f>SUBTOTAL(109,Tabla2[Aus.])</f>
        <v>133</v>
      </c>
      <c r="AG12" s="85">
        <f>SUBTOTAL(109,Tabla2[Asist.])</f>
        <v>167</v>
      </c>
      <c r="AH12" s="86">
        <f>SUBTOTAL(109,Tabla2[sueldo])</f>
        <v>668000</v>
      </c>
    </row>
    <row r="13" spans="1:41" x14ac:dyDescent="0.25">
      <c r="AH13" s="86"/>
    </row>
    <row r="14" spans="1:41" x14ac:dyDescent="0.25">
      <c r="D14" s="87"/>
      <c r="AH14" s="86"/>
    </row>
  </sheetData>
  <pageMargins left="0.7" right="0.7" top="0.75" bottom="0.75" header="0.3" footer="0.3"/>
  <pageSetup orientation="portrait" r:id="rId1"/>
  <ignoredErrors>
    <ignoredError sqref="B23:AE1048576" twoDigitTextYear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4" sqref="K4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19.85546875" customWidth="1"/>
    <col min="14" max="17" width="9.7109375" customWidth="1"/>
  </cols>
  <sheetData>
    <row r="1" spans="1:17" ht="60.75" customHeight="1" x14ac:dyDescent="0.25">
      <c r="A1" s="54" t="s">
        <v>77</v>
      </c>
      <c r="B1" s="99" t="s">
        <v>96</v>
      </c>
      <c r="C1" s="99"/>
      <c r="D1" s="99"/>
      <c r="E1" s="99"/>
      <c r="F1" s="48"/>
      <c r="G1" s="54" t="s">
        <v>78</v>
      </c>
      <c r="H1" s="99" t="s">
        <v>87</v>
      </c>
      <c r="I1" s="99"/>
      <c r="J1" s="99"/>
      <c r="K1" s="99"/>
      <c r="M1" s="54" t="s">
        <v>97</v>
      </c>
      <c r="N1" s="104" t="s">
        <v>101</v>
      </c>
      <c r="O1" s="104"/>
      <c r="P1" s="104"/>
      <c r="Q1" s="104"/>
    </row>
    <row r="2" spans="1:17" x14ac:dyDescent="0.25">
      <c r="A2" s="23" t="s">
        <v>79</v>
      </c>
      <c r="B2" s="24" t="s">
        <v>80</v>
      </c>
      <c r="C2" s="24" t="s">
        <v>81</v>
      </c>
      <c r="D2" s="24" t="s">
        <v>88</v>
      </c>
      <c r="E2" s="50" t="s">
        <v>82</v>
      </c>
      <c r="G2" s="23" t="s">
        <v>79</v>
      </c>
      <c r="H2" s="24" t="s">
        <v>80</v>
      </c>
      <c r="I2" s="24" t="s">
        <v>81</v>
      </c>
      <c r="J2" s="24" t="s">
        <v>88</v>
      </c>
      <c r="K2" s="50" t="s">
        <v>82</v>
      </c>
      <c r="M2" s="23" t="s">
        <v>98</v>
      </c>
      <c r="N2" s="100" t="s">
        <v>95</v>
      </c>
      <c r="O2" s="100"/>
      <c r="P2" s="100"/>
      <c r="Q2" s="101"/>
    </row>
    <row r="3" spans="1:17" x14ac:dyDescent="0.25">
      <c r="A3" s="26" t="s">
        <v>83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83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02" t="s">
        <v>91</v>
      </c>
      <c r="O3" s="102"/>
      <c r="P3" s="102"/>
      <c r="Q3" s="103"/>
    </row>
    <row r="4" spans="1:17" x14ac:dyDescent="0.25">
      <c r="A4" s="29" t="s">
        <v>84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90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97" t="s">
        <v>92</v>
      </c>
      <c r="O4" s="97"/>
      <c r="P4" s="97"/>
      <c r="Q4" s="98"/>
    </row>
    <row r="5" spans="1:17" x14ac:dyDescent="0.25">
      <c r="A5" s="26" t="s">
        <v>85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85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95" t="s">
        <v>94</v>
      </c>
      <c r="O5" s="95"/>
      <c r="P5" s="95"/>
      <c r="Q5" s="96"/>
    </row>
    <row r="6" spans="1:17" x14ac:dyDescent="0.25">
      <c r="A6" s="21" t="s">
        <v>86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89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97" t="s">
        <v>93</v>
      </c>
      <c r="O6" s="97"/>
      <c r="P6" s="97"/>
      <c r="Q6" s="98"/>
    </row>
    <row r="7" spans="1:17" x14ac:dyDescent="0.25">
      <c r="A7" s="26" t="s">
        <v>100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100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95" t="s">
        <v>99</v>
      </c>
      <c r="O7" s="95"/>
      <c r="P7" s="95"/>
      <c r="Q7" s="96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2" sqref="D2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6" bestFit="1" customWidth="1"/>
    <col min="7" max="7" width="12.7109375" style="56" bestFit="1" customWidth="1"/>
    <col min="8" max="8" width="11.5703125" style="56" bestFit="1" customWidth="1"/>
    <col min="9" max="9" width="13.85546875" style="56" bestFit="1" customWidth="1"/>
    <col min="10" max="10" width="9.140625" style="55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104</v>
      </c>
      <c r="B1" s="60">
        <f>COUNT(ventas[codigo])</f>
        <v>18</v>
      </c>
      <c r="D1" t="s">
        <v>98</v>
      </c>
      <c r="E1" t="s">
        <v>103</v>
      </c>
      <c r="F1" s="56" t="s">
        <v>108</v>
      </c>
      <c r="G1" s="56" t="s">
        <v>82</v>
      </c>
      <c r="H1" s="56" t="s">
        <v>102</v>
      </c>
      <c r="I1" s="56" t="s">
        <v>109</v>
      </c>
      <c r="J1" s="55" t="s">
        <v>15</v>
      </c>
      <c r="L1" s="58" t="s">
        <v>105</v>
      </c>
    </row>
    <row r="2" spans="1:12" x14ac:dyDescent="0.25">
      <c r="A2" s="68" t="s">
        <v>112</v>
      </c>
      <c r="B2" s="61">
        <f>SUM(ventas[total])</f>
        <v>287500</v>
      </c>
      <c r="D2">
        <v>3</v>
      </c>
      <c r="E2">
        <v>5</v>
      </c>
      <c r="F2" s="56">
        <v>5600</v>
      </c>
      <c r="G2" s="56">
        <f>ventas[[#This Row],[cant]]*ventas[[#This Row],[precio]]</f>
        <v>28000</v>
      </c>
      <c r="H2" s="56">
        <f>ventas[[#This Row],[total]]*iva_ventas</f>
        <v>5880</v>
      </c>
      <c r="I2" s="56">
        <f>ventas[[#This Row],[total]]+ventas[[#This Row],[iva]]</f>
        <v>33880</v>
      </c>
      <c r="J2" s="55">
        <v>44824</v>
      </c>
      <c r="L2" s="59">
        <v>0.21</v>
      </c>
    </row>
    <row r="3" spans="1:12" x14ac:dyDescent="0.25">
      <c r="A3" s="5" t="s">
        <v>111</v>
      </c>
      <c r="B3" s="62">
        <f>MIN(ventas[total])</f>
        <v>3500</v>
      </c>
      <c r="D3">
        <v>5</v>
      </c>
      <c r="E3">
        <v>2</v>
      </c>
      <c r="F3" s="56">
        <v>8000</v>
      </c>
      <c r="G3" s="56">
        <f>ventas[[#This Row],[cant]]*ventas[[#This Row],[precio]]</f>
        <v>16000</v>
      </c>
      <c r="H3" s="56">
        <f>ventas[[#This Row],[total]]*iva_ventas</f>
        <v>3360</v>
      </c>
      <c r="I3" s="56">
        <f>ventas[[#This Row],[total]]+ventas[[#This Row],[iva]]</f>
        <v>19360</v>
      </c>
      <c r="J3" s="55">
        <v>44824</v>
      </c>
    </row>
    <row r="4" spans="1:12" x14ac:dyDescent="0.25">
      <c r="A4" s="64" t="s">
        <v>110</v>
      </c>
      <c r="B4" s="61">
        <f>MAX(ventas[total])</f>
        <v>36500</v>
      </c>
      <c r="D4">
        <v>10</v>
      </c>
      <c r="E4">
        <v>3</v>
      </c>
      <c r="F4" s="56">
        <v>7300</v>
      </c>
      <c r="G4" s="56">
        <f>ventas[[#This Row],[cant]]*ventas[[#This Row],[precio]]</f>
        <v>21900</v>
      </c>
      <c r="H4" s="56">
        <f>ventas[[#This Row],[total]]*iva_ventas</f>
        <v>4599</v>
      </c>
      <c r="I4" s="56">
        <f>ventas[[#This Row],[total]]+ventas[[#This Row],[iva]]</f>
        <v>26499</v>
      </c>
      <c r="J4" s="55">
        <v>44824</v>
      </c>
    </row>
    <row r="5" spans="1:12" x14ac:dyDescent="0.25">
      <c r="A5" s="65" t="s">
        <v>107</v>
      </c>
      <c r="B5" s="62">
        <f>AVERAGE(ventas[total])</f>
        <v>15972.222222222223</v>
      </c>
      <c r="D5">
        <v>20</v>
      </c>
      <c r="E5">
        <v>1</v>
      </c>
      <c r="F5" s="56">
        <v>3500</v>
      </c>
      <c r="G5" s="56">
        <f>ventas[[#This Row],[cant]]*ventas[[#This Row],[precio]]</f>
        <v>3500</v>
      </c>
      <c r="H5" s="56">
        <f>ventas[[#This Row],[total]]*iva_ventas</f>
        <v>735</v>
      </c>
      <c r="I5" s="56">
        <f>ventas[[#This Row],[total]]+ventas[[#This Row],[iva]]</f>
        <v>4235</v>
      </c>
      <c r="J5" s="55">
        <v>44825</v>
      </c>
    </row>
    <row r="6" spans="1:12" x14ac:dyDescent="0.25">
      <c r="A6" s="66" t="s">
        <v>106</v>
      </c>
      <c r="B6" s="63">
        <f>MODE(D:D)</f>
        <v>20</v>
      </c>
      <c r="D6">
        <v>3</v>
      </c>
      <c r="E6">
        <v>2</v>
      </c>
      <c r="F6" s="56">
        <v>5600</v>
      </c>
      <c r="G6" s="56">
        <f>ventas[[#This Row],[cant]]*ventas[[#This Row],[precio]]</f>
        <v>11200</v>
      </c>
      <c r="H6" s="56">
        <f>ventas[[#This Row],[total]]*iva_ventas</f>
        <v>2352</v>
      </c>
      <c r="I6" s="56">
        <f>ventas[[#This Row],[total]]+ventas[[#This Row],[iva]]</f>
        <v>13552</v>
      </c>
      <c r="J6" s="55">
        <v>44825</v>
      </c>
    </row>
    <row r="7" spans="1:12" x14ac:dyDescent="0.25">
      <c r="D7">
        <v>29</v>
      </c>
      <c r="E7">
        <v>3</v>
      </c>
      <c r="F7" s="56">
        <v>9400</v>
      </c>
      <c r="G7" s="56">
        <f>ventas[[#This Row],[cant]]*ventas[[#This Row],[precio]]</f>
        <v>28200</v>
      </c>
      <c r="H7" s="56">
        <f>ventas[[#This Row],[total]]*iva_ventas</f>
        <v>5922</v>
      </c>
      <c r="I7" s="56">
        <f>ventas[[#This Row],[total]]+ventas[[#This Row],[iva]]</f>
        <v>34122</v>
      </c>
      <c r="J7" s="55">
        <v>44826</v>
      </c>
    </row>
    <row r="8" spans="1:12" x14ac:dyDescent="0.25">
      <c r="A8" s="67"/>
      <c r="B8" s="67"/>
      <c r="D8">
        <v>44</v>
      </c>
      <c r="E8">
        <v>1</v>
      </c>
      <c r="F8" s="56">
        <v>8500</v>
      </c>
      <c r="G8" s="56">
        <f>ventas[[#This Row],[cant]]*ventas[[#This Row],[precio]]</f>
        <v>8500</v>
      </c>
      <c r="H8" s="56">
        <f>ventas[[#This Row],[total]]*iva_ventas</f>
        <v>1785</v>
      </c>
      <c r="I8" s="56">
        <f>ventas[[#This Row],[total]]+ventas[[#This Row],[iva]]</f>
        <v>10285</v>
      </c>
      <c r="J8" s="55">
        <v>44827</v>
      </c>
    </row>
    <row r="9" spans="1:12" x14ac:dyDescent="0.25">
      <c r="D9">
        <v>21</v>
      </c>
      <c r="E9">
        <v>3</v>
      </c>
      <c r="F9" s="56">
        <v>4500</v>
      </c>
      <c r="G9" s="56">
        <f>ventas[[#This Row],[cant]]*ventas[[#This Row],[precio]]</f>
        <v>13500</v>
      </c>
      <c r="H9" s="56">
        <f>ventas[[#This Row],[total]]*iva_ventas</f>
        <v>2835</v>
      </c>
      <c r="I9" s="56">
        <f>ventas[[#This Row],[total]]+ventas[[#This Row],[iva]]</f>
        <v>16335</v>
      </c>
      <c r="J9" s="55">
        <v>44827</v>
      </c>
    </row>
    <row r="10" spans="1:12" x14ac:dyDescent="0.25">
      <c r="D10">
        <v>33</v>
      </c>
      <c r="E10">
        <v>2</v>
      </c>
      <c r="F10" s="56">
        <v>7200</v>
      </c>
      <c r="G10" s="56">
        <f>ventas[[#This Row],[cant]]*ventas[[#This Row],[precio]]</f>
        <v>14400</v>
      </c>
      <c r="H10" s="56">
        <f>ventas[[#This Row],[total]]*iva_ventas</f>
        <v>3024</v>
      </c>
      <c r="I10" s="56">
        <f>ventas[[#This Row],[total]]+ventas[[#This Row],[iva]]</f>
        <v>17424</v>
      </c>
      <c r="J10" s="55">
        <v>44827</v>
      </c>
      <c r="L10" s="57"/>
    </row>
    <row r="11" spans="1:12" x14ac:dyDescent="0.25">
      <c r="D11">
        <v>20</v>
      </c>
      <c r="E11">
        <v>5</v>
      </c>
      <c r="F11" s="56">
        <v>3500</v>
      </c>
      <c r="G11" s="56">
        <f>ventas[[#This Row],[cant]]*ventas[[#This Row],[precio]]</f>
        <v>17500</v>
      </c>
      <c r="H11" s="56">
        <f>ventas[[#This Row],[total]]*iva_ventas</f>
        <v>3675</v>
      </c>
      <c r="I11" s="56">
        <f>ventas[[#This Row],[total]]+ventas[[#This Row],[iva]]</f>
        <v>21175</v>
      </c>
      <c r="J11" s="55">
        <v>44828</v>
      </c>
      <c r="L11" s="57"/>
    </row>
    <row r="12" spans="1:12" x14ac:dyDescent="0.25">
      <c r="D12">
        <v>11</v>
      </c>
      <c r="E12">
        <v>4</v>
      </c>
      <c r="F12" s="56">
        <v>4400</v>
      </c>
      <c r="G12" s="56">
        <f>ventas[[#This Row],[cant]]*ventas[[#This Row],[precio]]</f>
        <v>17600</v>
      </c>
      <c r="H12" s="56">
        <f>ventas[[#This Row],[total]]*iva_ventas</f>
        <v>3696</v>
      </c>
      <c r="I12" s="56">
        <f>ventas[[#This Row],[total]]+ventas[[#This Row],[iva]]</f>
        <v>21296</v>
      </c>
      <c r="J12" s="55">
        <v>44828</v>
      </c>
      <c r="L12" s="57"/>
    </row>
    <row r="13" spans="1:12" x14ac:dyDescent="0.25">
      <c r="D13">
        <v>20</v>
      </c>
      <c r="E13">
        <v>3</v>
      </c>
      <c r="F13" s="56">
        <v>3500</v>
      </c>
      <c r="G13" s="56">
        <f>ventas[[#This Row],[cant]]*ventas[[#This Row],[precio]]</f>
        <v>10500</v>
      </c>
      <c r="H13" s="56">
        <f>ventas[[#This Row],[total]]*iva_ventas</f>
        <v>2205</v>
      </c>
      <c r="I13" s="56">
        <f>ventas[[#This Row],[total]]+ventas[[#This Row],[iva]]</f>
        <v>12705</v>
      </c>
      <c r="J13" s="55">
        <v>44829</v>
      </c>
      <c r="L13" s="57"/>
    </row>
    <row r="14" spans="1:12" x14ac:dyDescent="0.25">
      <c r="D14">
        <v>10</v>
      </c>
      <c r="E14">
        <v>2</v>
      </c>
      <c r="F14" s="56">
        <v>7300</v>
      </c>
      <c r="G14" s="56">
        <f>ventas[[#This Row],[cant]]*ventas[[#This Row],[precio]]</f>
        <v>14600</v>
      </c>
      <c r="H14" s="56">
        <f>ventas[[#This Row],[total]]*iva_ventas</f>
        <v>3066</v>
      </c>
      <c r="I14" s="56">
        <f>ventas[[#This Row],[total]]+ventas[[#This Row],[iva]]</f>
        <v>17666</v>
      </c>
      <c r="J14" s="55">
        <v>44829</v>
      </c>
      <c r="L14" s="57"/>
    </row>
    <row r="15" spans="1:12" x14ac:dyDescent="0.25">
      <c r="D15">
        <v>40</v>
      </c>
      <c r="E15">
        <v>3</v>
      </c>
      <c r="F15" s="56">
        <v>6200</v>
      </c>
      <c r="G15" s="56">
        <f>ventas[[#This Row],[cant]]*ventas[[#This Row],[precio]]</f>
        <v>18600</v>
      </c>
      <c r="H15" s="56">
        <f>ventas[[#This Row],[total]]*iva_ventas</f>
        <v>3906</v>
      </c>
      <c r="I15" s="56">
        <f>ventas[[#This Row],[total]]+ventas[[#This Row],[iva]]</f>
        <v>22506</v>
      </c>
      <c r="J15" s="55">
        <v>44830</v>
      </c>
      <c r="L15" s="57"/>
    </row>
    <row r="16" spans="1:12" x14ac:dyDescent="0.25">
      <c r="D16">
        <v>20</v>
      </c>
      <c r="E16">
        <v>2</v>
      </c>
      <c r="F16" s="56">
        <v>3500</v>
      </c>
      <c r="G16" s="56">
        <f>ventas[[#This Row],[cant]]*ventas[[#This Row],[precio]]</f>
        <v>7000</v>
      </c>
      <c r="H16" s="56">
        <f>ventas[[#This Row],[total]]*iva_ventas</f>
        <v>1470</v>
      </c>
      <c r="I16" s="56">
        <f>ventas[[#This Row],[total]]+ventas[[#This Row],[iva]]</f>
        <v>8470</v>
      </c>
      <c r="J16" s="55">
        <v>44830</v>
      </c>
    </row>
    <row r="17" spans="4:10" x14ac:dyDescent="0.25">
      <c r="D17">
        <v>11</v>
      </c>
      <c r="E17">
        <v>2</v>
      </c>
      <c r="F17" s="56">
        <v>4400</v>
      </c>
      <c r="G17" s="56">
        <f>ventas[[#This Row],[cant]]*ventas[[#This Row],[precio]]</f>
        <v>8800</v>
      </c>
      <c r="H17" s="56">
        <f>ventas[[#This Row],[total]]*iva_ventas</f>
        <v>1848</v>
      </c>
      <c r="I17" s="56">
        <f>ventas[[#This Row],[total]]+ventas[[#This Row],[iva]]</f>
        <v>10648</v>
      </c>
      <c r="J17" s="55">
        <v>44830</v>
      </c>
    </row>
    <row r="18" spans="4:10" x14ac:dyDescent="0.25">
      <c r="D18">
        <v>10</v>
      </c>
      <c r="E18">
        <v>5</v>
      </c>
      <c r="F18" s="56">
        <v>7300</v>
      </c>
      <c r="G18" s="69">
        <f>ventas[[#This Row],[cant]]*ventas[[#This Row],[precio]]</f>
        <v>36500</v>
      </c>
      <c r="H18" s="69">
        <f>ventas[[#This Row],[total]]*iva_ventas</f>
        <v>7665</v>
      </c>
      <c r="I18" s="69">
        <f>ventas[[#This Row],[total]]+ventas[[#This Row],[iva]]</f>
        <v>44165</v>
      </c>
      <c r="J18" s="55">
        <v>44831</v>
      </c>
    </row>
    <row r="19" spans="4:10" x14ac:dyDescent="0.25">
      <c r="D19">
        <v>3</v>
      </c>
      <c r="E19">
        <v>2</v>
      </c>
      <c r="F19" s="56">
        <v>5600</v>
      </c>
      <c r="G19" s="69">
        <f>ventas[[#This Row],[cant]]*ventas[[#This Row],[precio]]</f>
        <v>11200</v>
      </c>
      <c r="H19" s="69">
        <f>ventas[[#This Row],[total]]*iva_ventas</f>
        <v>2352</v>
      </c>
      <c r="I19" s="69">
        <f>ventas[[#This Row],[total]]+ventas[[#This Row],[iva]]</f>
        <v>13552</v>
      </c>
      <c r="J19" s="55">
        <v>44806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intro</vt:lpstr>
      <vt:lpstr>listas</vt:lpstr>
      <vt:lpstr>asist.</vt:lpstr>
      <vt:lpstr>operadores</vt:lpstr>
      <vt:lpstr>ventas</vt:lpstr>
      <vt:lpstr>asist</vt:lpstr>
      <vt:lpstr>aus</vt:lpstr>
      <vt:lpstr>iva_ventas</vt:lpstr>
      <vt:lpstr>jornada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2022-09-27T13:57:20Z</cp:lastPrinted>
  <dcterms:created xsi:type="dcterms:W3CDTF">2022-09-22T13:53:21Z</dcterms:created>
  <dcterms:modified xsi:type="dcterms:W3CDTF">2022-10-04T14:33:44Z</dcterms:modified>
</cp:coreProperties>
</file>