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slicers/slicer2.xml" ContentType="application/vnd.ms-excel.slicer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67B3CCE0-40F7-4601-8CF2-003CDFAA7A7D}" xr6:coauthVersionLast="47" xr6:coauthVersionMax="47" xr10:uidLastSave="{00000000-0000-0000-0000-000000000000}"/>
  <bookViews>
    <workbookView xWindow="-120" yWindow="-120" windowWidth="20730" windowHeight="11040" tabRatio="487" firstSheet="3" activeTab="6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Datos!$K$2</definedName>
    <definedName name="fecha_actual">empleados!$M$2</definedName>
    <definedName name="iva_ventas">ventas!$K$1</definedName>
    <definedName name="SegmentaciónDeDatos_Categoria">#N/A</definedName>
    <definedName name="SegmentaciónDeDatos_Empleado">#N/A</definedName>
    <definedName name="SegmentaciónDeDatos_Marca">#N/A</definedName>
    <definedName name="SegmentaciónDeDatos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H19" i="3" s="1"/>
  <c r="G18" i="3"/>
  <c r="H18" i="3" s="1"/>
  <c r="I8" i="2"/>
  <c r="I9" i="2"/>
  <c r="I10" i="2"/>
  <c r="I12" i="2"/>
  <c r="I13" i="2"/>
  <c r="I14" i="2"/>
  <c r="I15" i="2"/>
  <c r="I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17" i="3"/>
  <c r="H17" i="3" s="1"/>
  <c r="G5" i="3"/>
  <c r="I5" i="5" s="1"/>
  <c r="H2" i="5"/>
  <c r="H3" i="5"/>
  <c r="H4" i="5"/>
  <c r="H5" i="5"/>
  <c r="H6" i="5"/>
  <c r="H7" i="5"/>
  <c r="H8" i="5"/>
  <c r="H9" i="5"/>
  <c r="K10" i="3"/>
  <c r="B2" i="4"/>
  <c r="AG2" i="4" s="1"/>
  <c r="M2" i="1"/>
  <c r="O2" i="1" s="1"/>
  <c r="F2" i="1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6" i="3"/>
  <c r="H6" i="3" s="1"/>
  <c r="G2" i="3"/>
  <c r="H2" i="3" s="1"/>
  <c r="G3" i="3"/>
  <c r="H3" i="3" s="1"/>
  <c r="G4" i="3"/>
  <c r="H4" i="3" s="1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9" i="3"/>
  <c r="K3" i="3"/>
  <c r="I11" i="2" l="1"/>
  <c r="O5" i="2"/>
  <c r="M7" i="2"/>
  <c r="I6" i="2"/>
  <c r="I2" i="2"/>
  <c r="O4" i="2"/>
  <c r="M6" i="2"/>
  <c r="O7" i="2"/>
  <c r="I5" i="2"/>
  <c r="N2" i="2"/>
  <c r="O3" i="2"/>
  <c r="M5" i="2"/>
  <c r="I4" i="2"/>
  <c r="M4" i="2"/>
  <c r="O6" i="2"/>
  <c r="I7" i="2"/>
  <c r="I3" i="2"/>
  <c r="M3" i="2"/>
  <c r="M2" i="2"/>
  <c r="M7" i="5"/>
  <c r="M4" i="5"/>
  <c r="M5" i="5"/>
  <c r="M2" i="5"/>
  <c r="M6" i="5"/>
  <c r="M3" i="5"/>
  <c r="K7" i="3"/>
  <c r="K8" i="3"/>
  <c r="I4" i="5"/>
  <c r="I8" i="5"/>
  <c r="I3" i="5"/>
  <c r="H5" i="3"/>
  <c r="I7" i="5"/>
  <c r="I6" i="5"/>
  <c r="I2" i="5"/>
  <c r="I9" i="5"/>
  <c r="K4" i="3"/>
  <c r="B7" i="5"/>
  <c r="F7" i="5" s="1"/>
  <c r="B6" i="5"/>
  <c r="F6" i="5" s="1"/>
  <c r="B3" i="5"/>
  <c r="F3" i="5" s="1"/>
  <c r="B2" i="5"/>
  <c r="G2" i="5" s="1"/>
  <c r="P2" i="1"/>
  <c r="Q2" i="1"/>
  <c r="AL6" i="4"/>
  <c r="AL7" i="4"/>
  <c r="B9" i="5"/>
  <c r="B5" i="5"/>
  <c r="B8" i="5"/>
  <c r="B4" i="5"/>
  <c r="T2" i="1"/>
  <c r="S2" i="1"/>
  <c r="AK3" i="4"/>
  <c r="AK7" i="4"/>
  <c r="AK5" i="4"/>
  <c r="AK2" i="4"/>
  <c r="AK6" i="4"/>
  <c r="AK4" i="4"/>
  <c r="AL3" i="4"/>
  <c r="AL4" i="4"/>
  <c r="AL2" i="4"/>
  <c r="AL5" i="4"/>
  <c r="K6" i="3"/>
  <c r="N4" i="2" l="1"/>
  <c r="N5" i="2"/>
  <c r="O2" i="2"/>
  <c r="N7" i="2"/>
  <c r="N6" i="2"/>
  <c r="N3" i="2"/>
  <c r="N7" i="5"/>
  <c r="N6" i="5"/>
  <c r="N5" i="5"/>
  <c r="N4" i="5"/>
  <c r="N3" i="5"/>
  <c r="N2" i="5"/>
  <c r="E6" i="5"/>
  <c r="G6" i="5"/>
  <c r="D6" i="5" s="1"/>
  <c r="G7" i="5"/>
  <c r="D7" i="5" s="1"/>
  <c r="K5" i="3"/>
  <c r="E3" i="5"/>
  <c r="G3" i="5"/>
  <c r="D3" i="5" s="1"/>
  <c r="F2" i="5"/>
  <c r="D2" i="5" s="1"/>
  <c r="E7" i="5"/>
  <c r="F9" i="5"/>
  <c r="E9" i="5" s="1"/>
  <c r="G9" i="5"/>
  <c r="F8" i="5"/>
  <c r="E8" i="5" s="1"/>
  <c r="G8" i="5"/>
  <c r="G5" i="5"/>
  <c r="F5" i="5"/>
  <c r="E5" i="5" s="1"/>
  <c r="G4" i="5"/>
  <c r="F4" i="5"/>
  <c r="E4" i="5" s="1"/>
  <c r="E2" i="5" l="1"/>
  <c r="D9" i="5"/>
  <c r="D8" i="5"/>
  <c r="D4" i="5"/>
  <c r="D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<sst xmlns="http://schemas.openxmlformats.org/spreadsheetml/2006/main" count="379" uniqueCount="180">
  <si>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</si>
  <si>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</si>
  <si>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</si>
  <si>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</si>
  <si>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</si>
  <si>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</si>
  <si>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</si>
  <si>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</si>
  <si>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</si>
  <si>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</si>
  <si>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</si>
  <si>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</si>
  <si>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</si>
  <si>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</si>
  <si>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</si>
  <si>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</si>
  <si>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</si>
  <si>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</si>
  <si>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</si>
  <si>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</si>
  <si>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</si>
  <si>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</si>
  <si>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</si>
  <si>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</si>
  <si>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</si>
  <si>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</si>
  <si>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</si>
  <si>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</si>
  <si>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</si>
  <si>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</si>
  <si>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</si>
  <si>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</si>
  <si>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</si>
  <si>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</si>
  <si>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</si>
  <si>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</si>
  <si>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</si>
  <si>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</si>
  <si>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</si>
  <si>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</si>
  <si>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</si>
  <si>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</si>
  <si>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</si>
  <si>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</si>
  <si>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</si>
  <si>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</si>
  <si>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</si>
  <si>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</si>
  <si>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</si>
  <si>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</si>
  <si>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</si>
  <si>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</si>
  <si>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</si>
  <si>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</si>
  <si>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</si>
  <si>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</si>
  <si>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</si>
  <si>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</si>
  <si>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</si>
  <si>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</si>
  <si>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</si>
  <si>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</si>
  <si>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</si>
  <si>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</si>
  <si>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</si>
  <si>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</si>
  <si>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</si>
  <si>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</si>
  <si>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</si>
  <si>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</si>
  <si>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</si>
  <si>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</si>
  <si>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</si>
  <si>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</si>
  <si>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</si>
  <si>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</si>
  <si>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</si>
  <si>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</si>
  <si>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</si>
  <si>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</si>
  <si>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</si>
  <si>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</si>
  <si>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</si>
  <si>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</si>
  <si>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</si>
  <si>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</si>
  <si>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</si>
  <si>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</si>
  <si>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</si>
  <si>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</si>
  <si>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</si>
  <si>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</si>
  <si>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</si>
  <si>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</si>
  <si>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</si>
  <si>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</si>
  <si>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</si>
  <si>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</si>
  <si>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</si>
  <si>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</si>
  <si>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</si>
  <si>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</si>
  <si>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</si>
  <si>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</si>
  <si>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</si>
  <si>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</si>
  <si>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</si>
  <si>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</si>
  <si>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</si>
  <si>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</si>
  <si>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</si>
  <si>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</si>
  <si>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</si>
  <si>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</si>
  <si>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</si>
  <si>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</si>
  <si>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</si>
  <si>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</si>
  <si>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</si>
  <si>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</si>
  <si>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</si>
  <si>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</si>
  <si>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</si>
  <si>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</si>
  <si>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</si>
  <si>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</si>
  <si>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</si>
  <si>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</si>
  <si>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</si>
  <si>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</si>
  <si>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</si>
  <si>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</si>
  <si>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</si>
  <si>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</si>
  <si>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</si>
  <si>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</si>
  <si>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</si>
  <si>
    <t>Datos</t>
  </si>
  <si>
    <t>Intro</t>
  </si>
  <si>
    <t>Marca</t>
  </si>
  <si>
    <t>Atma</t>
  </si>
  <si>
    <t>Drean</t>
  </si>
  <si>
    <t>Samsung</t>
  </si>
  <si>
    <t>HP</t>
  </si>
  <si>
    <t>Top House</t>
  </si>
  <si>
    <t>Mesa de melamina 180x120</t>
  </si>
  <si>
    <t>Impresora SmartTank 510 series</t>
  </si>
  <si>
    <t>Televisor 49'' Smart TV</t>
  </si>
  <si>
    <t>Secarropas 5L Carga Superior</t>
  </si>
  <si>
    <t>Microondas 15L</t>
  </si>
  <si>
    <t>Sillas de madera 100x60</t>
  </si>
  <si>
    <t>Notebook Elitebook 8500 series</t>
  </si>
  <si>
    <t>Lavarropas Carga Frontal 8Kg</t>
  </si>
  <si>
    <t>Dell</t>
  </si>
  <si>
    <t>Notebook Thinkpad 3800 series</t>
  </si>
  <si>
    <t>Dove</t>
  </si>
  <si>
    <t>Sedal</t>
  </si>
  <si>
    <t>Acondicionador 500ml anticaspa</t>
  </si>
  <si>
    <t>Shampoo 1L cabellos fragiles</t>
  </si>
  <si>
    <t>Televisor 32'' AMOLED</t>
  </si>
  <si>
    <t>LG</t>
  </si>
  <si>
    <t>Jabon humentacte x 3</t>
  </si>
  <si>
    <t>Estetica</t>
  </si>
  <si>
    <t>Liliana</t>
  </si>
  <si>
    <t>Secador de Pelo 3800rpm</t>
  </si>
  <si>
    <t>Aire Acondicionado 3800 frigorias</t>
  </si>
  <si>
    <t>Promedio</t>
  </si>
  <si>
    <t>Mediana</t>
  </si>
  <si>
    <t>Suma</t>
  </si>
  <si>
    <t>Minimo</t>
  </si>
  <si>
    <t>Maximo</t>
  </si>
  <si>
    <t>Contar</t>
  </si>
  <si>
    <t>Vendidos</t>
  </si>
  <si>
    <t>Recaudado</t>
  </si>
  <si>
    <t>ventas</t>
  </si>
  <si>
    <t>a-016</t>
  </si>
  <si>
    <t>recaudado</t>
  </si>
  <si>
    <t>vendidos</t>
  </si>
  <si>
    <t>a-0017</t>
  </si>
  <si>
    <t>a0018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</si>
</sst>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5" formatCode="_-* #,##0_-;\-* #,##0_-;_-* &quot;-&quot;??_-;_-@_-"/>
    <numFmt numFmtId="171" formatCode="0.0"/>
    <numFmt numFmtId="173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5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2" borderId="0" xfId="0" applyFont="1" applyFill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5" fillId="0" borderId="0" xfId="5"/>
    <xf numFmtId="0" fontId="3" fillId="5" borderId="0" xfId="3"/>
    <xf numFmtId="0" fontId="3" fillId="5" borderId="0" xfId="3" applyAlignment="1">
      <alignment horizontal="center" vertical="top"/>
    </xf>
    <xf numFmtId="0" fontId="3" fillId="5" borderId="0" xfId="3" applyAlignment="1">
      <alignment horizontal="left" vertical="top" textRotation="90"/>
    </xf>
    <xf numFmtId="0" fontId="3" fillId="6" borderId="0" xfId="4" applyAlignment="1">
      <alignment horizontal="center"/>
    </xf>
    <xf numFmtId="0" fontId="3" fillId="0" borderId="0" xfId="3" applyFill="1" applyAlignment="1">
      <alignment horizontal="center" vertical="top"/>
    </xf>
    <xf numFmtId="0" fontId="3" fillId="5" borderId="0" xfId="3" applyAlignment="1">
      <alignment horizontal="center" vertical="center" textRotation="90"/>
    </xf>
    <xf numFmtId="4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7" xfId="0" applyFont="1" applyFill="1" applyBorder="1"/>
    <xf numFmtId="44" fontId="0" fillId="3" borderId="6" xfId="1" applyFont="1" applyFill="1" applyBorder="1"/>
    <xf numFmtId="44" fontId="0" fillId="0" borderId="6" xfId="0" applyNumberFormat="1" applyFont="1" applyBorder="1"/>
    <xf numFmtId="171" fontId="0" fillId="3" borderId="5" xfId="0" applyNumberFormat="1" applyFont="1" applyFill="1" applyBorder="1"/>
    <xf numFmtId="44" fontId="0" fillId="0" borderId="3" xfId="1" applyNumberFormat="1" applyFont="1" applyBorder="1"/>
    <xf numFmtId="173" fontId="0" fillId="0" borderId="0" xfId="1" applyNumberFormat="1" applyFont="1"/>
    <xf numFmtId="165" fontId="0" fillId="3" borderId="5" xfId="2" applyNumberFormat="1" applyFont="1" applyFill="1" applyBorder="1"/>
    <xf numFmtId="165" fontId="0" fillId="0" borderId="5" xfId="2" applyNumberFormat="1" applyFont="1" applyBorder="1"/>
    <xf numFmtId="165" fontId="0" fillId="0" borderId="2" xfId="2" applyNumberFormat="1" applyFont="1" applyBorder="1"/>
    <xf numFmtId="44" fontId="2" fillId="2" borderId="6" xfId="1" applyFont="1" applyFill="1" applyBorder="1"/>
    <xf numFmtId="44" fontId="0" fillId="3" borderId="5" xfId="1" applyFont="1" applyFill="1" applyBorder="1"/>
    <xf numFmtId="44" fontId="0" fillId="0" borderId="5" xfId="1" applyFont="1" applyBorder="1"/>
    <xf numFmtId="165" fontId="2" fillId="2" borderId="0" xfId="2" applyNumberFormat="1" applyFont="1" applyFill="1" applyBorder="1"/>
    <xf numFmtId="165" fontId="0" fillId="3" borderId="6" xfId="2" applyNumberFormat="1" applyFont="1" applyFill="1" applyBorder="1"/>
    <xf numFmtId="165" fontId="0" fillId="0" borderId="6" xfId="2" applyNumberFormat="1" applyFont="1" applyBorder="1"/>
    <xf numFmtId="0" fontId="6" fillId="3" borderId="4" xfId="0" applyFont="1" applyFill="1" applyBorder="1"/>
    <xf numFmtId="165" fontId="6" fillId="3" borderId="5" xfId="2" applyNumberFormat="1" applyFont="1" applyFill="1" applyBorder="1"/>
    <xf numFmtId="165" fontId="6" fillId="3" borderId="6" xfId="2" applyNumberFormat="1" applyFont="1" applyFill="1" applyBorder="1"/>
    <xf numFmtId="0" fontId="0" fillId="0" borderId="5" xfId="0" applyFont="1" applyFill="1" applyBorder="1"/>
    <xf numFmtId="44" fontId="0" fillId="0" borderId="5" xfId="1" applyNumberFormat="1" applyFont="1" applyFill="1" applyBorder="1"/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31">
    <dxf>
      <numFmt numFmtId="0" formatCode="General"/>
    </dxf>
    <dxf>
      <numFmt numFmtId="173" formatCode="_-&quot;$&quot;\ * #,##0_-;\-&quot;$&quot;\ * #,##0_-;_-&quot;$&quot;\ 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34" formatCode="_-&quot;$&quot;\ * #,##0.00_-;\-&quot;$&quot;\ * #,##0.00_-;_-&quot;$&quot;\ 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productos!$G$1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productos!$C$2:$C$16</c:f>
              <c:strCache>
                <c:ptCount val="15"/>
                <c:pt idx="0">
                  <c:v>Microondas 15L</c:v>
                </c:pt>
                <c:pt idx="1">
                  <c:v>Secarropas 5L Carga Superior</c:v>
                </c:pt>
                <c:pt idx="2">
                  <c:v>Televisor 49'' Smart TV</c:v>
                </c:pt>
                <c:pt idx="3">
                  <c:v>Impresora SmartTank 510 series</c:v>
                </c:pt>
                <c:pt idx="4">
                  <c:v>Mesa de melamina 180x120</c:v>
                </c:pt>
                <c:pt idx="5">
                  <c:v>Sillas de madera 100x60</c:v>
                </c:pt>
                <c:pt idx="6">
                  <c:v>Aire Acondicionado 3800 frigorias</c:v>
                </c:pt>
                <c:pt idx="7">
                  <c:v>Notebook Elitebook 8500 series</c:v>
                </c:pt>
                <c:pt idx="8">
                  <c:v>Lavarropas Carga Frontal 8Kg</c:v>
                </c:pt>
                <c:pt idx="9">
                  <c:v>Notebook Thinkpad 3800 series</c:v>
                </c:pt>
                <c:pt idx="10">
                  <c:v>Acondicionador 500ml anticaspa</c:v>
                </c:pt>
                <c:pt idx="11">
                  <c:v>Shampoo 1L cabellos fragiles</c:v>
                </c:pt>
                <c:pt idx="12">
                  <c:v>Televisor 32'' AMOLED</c:v>
                </c:pt>
                <c:pt idx="13">
                  <c:v>Jabon humentacte x 3</c:v>
                </c:pt>
                <c:pt idx="14">
                  <c:v>Secador de Pelo 3800rpm</c:v>
                </c:pt>
              </c:strCache>
            </c:strRef>
          </c:cat>
          <c:val>
            <c:numRef>
              <c:f>productos!$G$2:$G$16</c:f>
              <c:numCache>
                <c:formatCode>0</c:formatCode>
                <c:ptCount val="15"/>
                <c:pt idx="0">
                  <c:v>3000</c:v>
                </c:pt>
                <c:pt idx="1">
                  <c:v>5399</c:v>
                </c:pt>
                <c:pt idx="2">
                  <c:v>2380</c:v>
                </c:pt>
                <c:pt idx="3">
                  <c:v>4500</c:v>
                </c:pt>
                <c:pt idx="4">
                  <c:v>13599</c:v>
                </c:pt>
                <c:pt idx="5">
                  <c:v>18390</c:v>
                </c:pt>
                <c:pt idx="6">
                  <c:v>2890</c:v>
                </c:pt>
                <c:pt idx="7">
                  <c:v>5000</c:v>
                </c:pt>
                <c:pt idx="8">
                  <c:v>8500</c:v>
                </c:pt>
                <c:pt idx="9">
                  <c:v>3190</c:v>
                </c:pt>
                <c:pt idx="10">
                  <c:v>9850</c:v>
                </c:pt>
                <c:pt idx="11">
                  <c:v>4900</c:v>
                </c:pt>
                <c:pt idx="12">
                  <c:v>2890</c:v>
                </c:pt>
                <c:pt idx="13">
                  <c:v>9540</c:v>
                </c:pt>
                <c:pt idx="14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747-BFB3-1AB8AA3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900031"/>
        <c:axId val="729902527"/>
        <c:axId val="0"/>
      </c:bar3DChart>
      <c:catAx>
        <c:axId val="7299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2527"/>
        <c:crosses val="autoZero"/>
        <c:auto val="1"/>
        <c:lblAlgn val="ctr"/>
        <c:lblOffset val="100"/>
        <c:noMultiLvlLbl val="0"/>
      </c:catAx>
      <c:valAx>
        <c:axId val="729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Estadisticas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ventas!$J$2</c:f>
              <c:strCache>
                <c:ptCount val="1"/>
                <c:pt idx="0">
                  <c:v>Estadisticas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ventas!$J$4:$J$8</c15:sqref>
                  </c15:fullRef>
                </c:ext>
              </c:extLst>
              <c:f>ventas!$J$5:$J$8</c:f>
              <c:strCache>
                <c:ptCount val="4"/>
                <c:pt idx="0">
                  <c:v>Promedio</c:v>
                </c:pt>
                <c:pt idx="1">
                  <c:v>Mediana</c:v>
                </c:pt>
                <c:pt idx="2">
                  <c:v>Minimo</c:v>
                </c:pt>
                <c:pt idx="3">
                  <c:v>Maximo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ventas!$K$4:$K$8</c15:sqref>
                  </c15:fullRef>
                </c:ext>
              </c:extLst>
              <c:f>ventas!$K$5:$K$8</c:f>
              <c:numCache>
                <c:formatCode>_("$"* #,##0.00_);_("$"* \(#,##0.00\);_("$"* "-"??_);_(@_)</c:formatCode>
                <c:ptCount val="4"/>
                <c:pt idx="0">
                  <c:v>205819.44111111111</c:v>
                </c:pt>
                <c:pt idx="1">
                  <c:v>112000</c:v>
                </c:pt>
                <c:pt idx="2">
                  <c:v>25000</c:v>
                </c:pt>
                <c:pt idx="3">
                  <c:v>947500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7-442F-8E24-32854E50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466399"/>
        <c:axId val="858468479"/>
        <c:axId val="0"/>
      </c:bar3DChart>
      <c:catAx>
        <c:axId val="8584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8479"/>
        <c:crosses val="autoZero"/>
        <c:auto val="1"/>
        <c:lblAlgn val="ctr"/>
        <c:lblOffset val="100"/>
        <c:noMultiLvlLbl val="0"/>
      </c:catAx>
      <c:valAx>
        <c:axId val="8584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2870654550222319"/>
          <c:y val="0.18523349529433697"/>
          <c:w val="0.57686091074838552"/>
          <c:h val="0.69906949642373983"/>
        </c:manualLayout>
      </c:layout>
      <c:pieChart>
        <c:varyColors val="1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9-4F4D-BEB3-13EE273233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9-4F4D-BEB3-13EE273233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9-4F4D-BEB3-13EE273233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9-4F4D-BEB3-13EE273233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39-4F4D-BEB3-13EE273233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39-4F4D-BEB3-13EE273233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39-4F4D-BEB3-13EE273233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9-4F4D-BEB3-13EE2732335A}"/>
              </c:ext>
            </c:extLst>
          </c:dPt>
          <c:dLbls>
            <c:dLbl>
              <c:idx val="0"/>
              <c:layout>
                <c:manualLayout>
                  <c:x val="-2.8470585642386775E-2"/>
                  <c:y val="-0.10729871067122061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4882"/>
                        <a:gd name="adj2" fmla="val 16084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139-4F4D-BEB3-13EE2732335A}"/>
                </c:ext>
              </c:extLst>
            </c:dLbl>
            <c:dLbl>
              <c:idx val="1"/>
              <c:layout>
                <c:manualLayout>
                  <c:x val="7.5441485800465488E-2"/>
                  <c:y val="-0.1107599594025503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42671"/>
                        <a:gd name="adj2" fmla="val -448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139-4F4D-BEB3-13EE2732335A}"/>
                </c:ext>
              </c:extLst>
            </c:dLbl>
            <c:dLbl>
              <c:idx val="2"/>
              <c:layout>
                <c:manualLayout>
                  <c:x val="0.24563034589529473"/>
                  <c:y val="-1.730624365664848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69304"/>
                        <a:gd name="adj2" fmla="val -9440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139-4F4D-BEB3-13EE2732335A}"/>
                </c:ext>
              </c:extLst>
            </c:dLbl>
            <c:dLbl>
              <c:idx val="3"/>
              <c:layout>
                <c:manualLayout>
                  <c:x val="-2.5705501314623867E-2"/>
                  <c:y val="2.76899898506375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0295"/>
                        <a:gd name="adj2" fmla="val -11718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139-4F4D-BEB3-13EE2732335A}"/>
                </c:ext>
              </c:extLst>
            </c:dLbl>
            <c:dLbl>
              <c:idx val="4"/>
              <c:layout>
                <c:manualLayout>
                  <c:x val="-0.12567133976038336"/>
                  <c:y val="-1.038374619398921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4835"/>
                        <a:gd name="adj2" fmla="val -710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139-4F4D-BEB3-13EE2732335A}"/>
                </c:ext>
              </c:extLst>
            </c:dLbl>
            <c:dLbl>
              <c:idx val="5"/>
              <c:layout>
                <c:manualLayout>
                  <c:x val="8.5685004382079558E-3"/>
                  <c:y val="1.73062436566483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8144"/>
                        <a:gd name="adj2" fmla="val -2775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D139-4F4D-BEB3-13EE2732335A}"/>
                </c:ext>
              </c:extLst>
            </c:dLbl>
            <c:dLbl>
              <c:idx val="6"/>
              <c:layout>
                <c:manualLayout>
                  <c:x val="-2.1610387811229412E-2"/>
                  <c:y val="-8.65312182832424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0196"/>
                        <a:gd name="adj2" fmla="val 16875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D139-4F4D-BEB3-13EE2732335A}"/>
                </c:ext>
              </c:extLst>
            </c:dLbl>
            <c:dLbl>
              <c:idx val="7"/>
              <c:layout>
                <c:manualLayout>
                  <c:x val="-2.8561668127359851E-3"/>
                  <c:y val="-5.88412284326048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7402"/>
                        <a:gd name="adj2" fmla="val 22427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D139-4F4D-BEB3-13EE273233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39-4F4D-BEB3-13EE2732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693290708329708E-2"/>
          <c:y val="0.15589925611630154"/>
          <c:w val="0.49543837825958958"/>
          <c:h val="0.81246759958114045"/>
        </c:manualLayout>
      </c:layout>
      <c:doughnutChart>
        <c:varyColors val="1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4E-49EE-A0D3-51AC370B9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4E-49EE-A0D3-51AC370B95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4E-49EE-A0D3-51AC370B95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4E-49EE-A0D3-51AC370B95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4E-49EE-A0D3-51AC370B95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54E-49EE-A0D3-51AC370B95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54E-49EE-A0D3-51AC370B95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54E-49EE-A0D3-51AC370B9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E-49EE-A0D3-51AC370B9507}"/>
            </c:ext>
          </c:extLst>
        </c:ser>
        <c:ser>
          <c:idx val="1"/>
          <c:order val="1"/>
          <c:tx>
            <c:strRef>
              <c:f>Datos!$I$1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54E-49EE-A0D3-51AC370B9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54E-49EE-A0D3-51AC370B95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54E-49EE-A0D3-51AC370B95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554E-49EE-A0D3-51AC370B95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54E-49EE-A0D3-51AC370B95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54E-49EE-A0D3-51AC370B95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54E-49EE-A0D3-51AC370B95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54E-49EE-A0D3-51AC370B9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Datos!$I$2:$I$9</c:f>
              <c:numCache>
                <c:formatCode>_("$"* #,##0.00_);_("$"* \(#,##0.00\);_("$"* "-"??_);_(@_)</c:formatCode>
                <c:ptCount val="8"/>
                <c:pt idx="0">
                  <c:v>1339500</c:v>
                </c:pt>
                <c:pt idx="1">
                  <c:v>678749.98</c:v>
                </c:pt>
                <c:pt idx="2">
                  <c:v>168000</c:v>
                </c:pt>
                <c:pt idx="3">
                  <c:v>779999.96</c:v>
                </c:pt>
                <c:pt idx="4">
                  <c:v>35500</c:v>
                </c:pt>
                <c:pt idx="5">
                  <c:v>344500</c:v>
                </c:pt>
                <c:pt idx="6">
                  <c:v>112000</c:v>
                </c:pt>
                <c:pt idx="7">
                  <c:v>246500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4E-49EE-A0D3-51AC370B950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52690807014056"/>
          <c:y val="0.13380659023839636"/>
          <c:w val="0.35883486128215014"/>
          <c:h val="0.82901880788217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presentismo!$AG$1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presentismo!$B$2:$B$9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presentismo!$AG$2:$AG$9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2F4-B57F-1BD1581533B4}"/>
            </c:ext>
          </c:extLst>
        </c:ser>
        <c:ser>
          <c:idx val="1"/>
          <c:order val="1"/>
          <c:tx>
            <c:strRef>
              <c:f>presentismo!$AH$1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presentismo!$B$2:$B$9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presentismo!$AH$2:$AH$9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2F4-B57F-1BD15815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59789103"/>
        <c:axId val="859787439"/>
      </c:barChart>
      <c:catAx>
        <c:axId val="85978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787439"/>
        <c:crosses val="autoZero"/>
        <c:auto val="1"/>
        <c:lblAlgn val="ctr"/>
        <c:lblOffset val="100"/>
        <c:noMultiLvlLbl val="0"/>
      </c:catAx>
      <c:valAx>
        <c:axId val="859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78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</a:t>
            </a:r>
            <a:r>
              <a:rPr lang="es-AR" baseline="0"/>
              <a:t> de Ventas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Datos!$H$2:$H$9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4-4A3C-9689-497E33E4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147935"/>
        <c:axId val="958145023"/>
      </c:barChart>
      <c:lineChart>
        <c:grouping val="standard"/>
        <c:varyColors val="0"/>
        <c:ser>
          <c:idx val="1"/>
          <c:order val="1"/>
          <c:tx>
            <c:strRef>
              <c:f>Datos!$I$1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Datos!$B$2:$B$9</c:f>
              <c:strCache>
                <c:ptCount val="8"/>
                <c:pt idx="0">
                  <c:v>Racedo, Cristian</c:v>
                </c:pt>
                <c:pt idx="1">
                  <c:v>Racedo, Abel</c:v>
                </c:pt>
                <c:pt idx="2">
                  <c:v>Maldonado, Alejandra</c:v>
                </c:pt>
                <c:pt idx="3">
                  <c:v>Juarez, Alberto</c:v>
                </c:pt>
                <c:pt idx="4">
                  <c:v>Martinez, Mariana</c:v>
                </c:pt>
                <c:pt idx="5">
                  <c:v>Gomez, Graciela</c:v>
                </c:pt>
                <c:pt idx="6">
                  <c:v>Garcia, Demetrio</c:v>
                </c:pt>
                <c:pt idx="7">
                  <c:v>Cabello, Camila</c:v>
                </c:pt>
              </c:strCache>
            </c:strRef>
          </c:cat>
          <c:val>
            <c:numRef>
              <c:f>Datos!$I$2:$I$9</c:f>
              <c:numCache>
                <c:formatCode>_("$"* #,##0.00_);_("$"* \(#,##0.00\);_("$"* "-"??_);_(@_)</c:formatCode>
                <c:ptCount val="8"/>
                <c:pt idx="0">
                  <c:v>1339500</c:v>
                </c:pt>
                <c:pt idx="1">
                  <c:v>678749.98</c:v>
                </c:pt>
                <c:pt idx="2">
                  <c:v>168000</c:v>
                </c:pt>
                <c:pt idx="3">
                  <c:v>779999.96</c:v>
                </c:pt>
                <c:pt idx="4">
                  <c:v>35500</c:v>
                </c:pt>
                <c:pt idx="5">
                  <c:v>344500</c:v>
                </c:pt>
                <c:pt idx="6">
                  <c:v>112000</c:v>
                </c:pt>
                <c:pt idx="7">
                  <c:v>246500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A3C-9689-497E33E4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59999"/>
        <c:axId val="958159583"/>
      </c:lineChart>
      <c:catAx>
        <c:axId val="958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45023"/>
        <c:crosses val="autoZero"/>
        <c:auto val="1"/>
        <c:lblAlgn val="ctr"/>
        <c:lblOffset val="100"/>
        <c:noMultiLvlLbl val="0"/>
      </c:catAx>
      <c:valAx>
        <c:axId val="9581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47935"/>
        <c:crosses val="autoZero"/>
        <c:crossBetween val="between"/>
      </c:valAx>
      <c:valAx>
        <c:axId val="958159583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159999"/>
        <c:crosses val="max"/>
        <c:crossBetween val="between"/>
      </c:valAx>
      <c:catAx>
        <c:axId val="958159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15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andracedo@hotmail.com?subject=Consulta%20EXCEL" TargetMode="External"/><Relationship Id="rId18" Type="http://schemas.openxmlformats.org/officeDocument/2006/relationships/image" Target="../media/image10.svg"/><Relationship Id="rId26" Type="http://schemas.openxmlformats.org/officeDocument/2006/relationships/image" Target="../media/image15.png"/><Relationship Id="rId39" Type="http://schemas.openxmlformats.org/officeDocument/2006/relationships/image" Target="../media/image24.svg"/><Relationship Id="rId21" Type="http://schemas.openxmlformats.org/officeDocument/2006/relationships/image" Target="../media/image12.svg"/><Relationship Id="rId34" Type="http://schemas.openxmlformats.org/officeDocument/2006/relationships/hyperlink" Target="introduccion.xlsx" TargetMode="External"/><Relationship Id="rId7" Type="http://schemas.openxmlformats.org/officeDocument/2006/relationships/hyperlink" Target="https://alumni.educatio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9.png"/><Relationship Id="rId25" Type="http://schemas.openxmlformats.org/officeDocument/2006/relationships/hyperlink" Target="#productos!A1"/><Relationship Id="rId33" Type="http://schemas.openxmlformats.org/officeDocument/2006/relationships/image" Target="../media/image20.svg"/><Relationship Id="rId38" Type="http://schemas.openxmlformats.org/officeDocument/2006/relationships/image" Target="../media/image23.png"/><Relationship Id="rId2" Type="http://schemas.microsoft.com/office/2007/relationships/hdphoto" Target="../media/hdphoto1.wdp"/><Relationship Id="rId16" Type="http://schemas.openxmlformats.org/officeDocument/2006/relationships/hyperlink" Target="contabilidad.xlsx" TargetMode="External"/><Relationship Id="rId20" Type="http://schemas.openxmlformats.org/officeDocument/2006/relationships/image" Target="../media/image11.png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hyperlink" Target="https://creativecommons.org/licenses/by/3.0/" TargetMode="External"/><Relationship Id="rId11" Type="http://schemas.openxmlformats.org/officeDocument/2006/relationships/image" Target="../media/image5.png"/><Relationship Id="rId24" Type="http://schemas.openxmlformats.org/officeDocument/2006/relationships/image" Target="../media/image14.svg"/><Relationship Id="rId32" Type="http://schemas.openxmlformats.org/officeDocument/2006/relationships/image" Target="../media/image19.png"/><Relationship Id="rId37" Type="http://schemas.openxmlformats.org/officeDocument/2006/relationships/hyperlink" Target="#Datos!A1"/><Relationship Id="rId5" Type="http://schemas.openxmlformats.org/officeDocument/2006/relationships/hyperlink" Target="http://informationtransfereconomics.blogspot.com/2017/02/information-equilibrium-code.html" TargetMode="External"/><Relationship Id="rId15" Type="http://schemas.openxmlformats.org/officeDocument/2006/relationships/image" Target="../media/image8.svg"/><Relationship Id="rId23" Type="http://schemas.openxmlformats.org/officeDocument/2006/relationships/image" Target="../media/image13.png"/><Relationship Id="rId28" Type="http://schemas.openxmlformats.org/officeDocument/2006/relationships/hyperlink" Target="#presentismo!A1"/><Relationship Id="rId36" Type="http://schemas.openxmlformats.org/officeDocument/2006/relationships/image" Target="../media/image22.svg"/><Relationship Id="rId10" Type="http://schemas.openxmlformats.org/officeDocument/2006/relationships/hyperlink" Target="docs/atajos-teclado.doc" TargetMode="External"/><Relationship Id="rId19" Type="http://schemas.openxmlformats.org/officeDocument/2006/relationships/hyperlink" Target="#estadisticas!A1"/><Relationship Id="rId31" Type="http://schemas.openxmlformats.org/officeDocument/2006/relationships/hyperlink" Target="#empleados!A1"/><Relationship Id="rId4" Type="http://schemas.openxmlformats.org/officeDocument/2006/relationships/image" Target="../media/image2.png"/><Relationship Id="rId9" Type="http://schemas.openxmlformats.org/officeDocument/2006/relationships/image" Target="../media/image4.svg"/><Relationship Id="rId14" Type="http://schemas.openxmlformats.org/officeDocument/2006/relationships/image" Target="../media/image7.png"/><Relationship Id="rId22" Type="http://schemas.openxmlformats.org/officeDocument/2006/relationships/hyperlink" Target="#ventas!A1"/><Relationship Id="rId27" Type="http://schemas.openxmlformats.org/officeDocument/2006/relationships/image" Target="../media/image16.svg"/><Relationship Id="rId30" Type="http://schemas.openxmlformats.org/officeDocument/2006/relationships/image" Target="../media/image18.svg"/><Relationship Id="rId35" Type="http://schemas.openxmlformats.org/officeDocument/2006/relationships/image" Target="../media/image21.png"/><Relationship Id="rId8" Type="http://schemas.openxmlformats.org/officeDocument/2006/relationships/image" Target="../media/image3.png"/><Relationship Id="rId3" Type="http://schemas.openxmlformats.org/officeDocument/2006/relationships/hyperlink" Target="https://github.com/c215714n/EducacionIT/tree/excel-mjv13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6.svg"/><Relationship Id="rId7" Type="http://schemas.openxmlformats.org/officeDocument/2006/relationships/chart" Target="../charts/chart4.xml"/><Relationship Id="rId2" Type="http://schemas.openxmlformats.org/officeDocument/2006/relationships/image" Target="../media/image25.png"/><Relationship Id="rId1" Type="http://schemas.openxmlformats.org/officeDocument/2006/relationships/hyperlink" Target="#menu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42447</xdr:colOff>
      <xdr:row>1</xdr:row>
      <xdr:rowOff>39413</xdr:rowOff>
    </xdr:from>
    <xdr:to>
      <xdr:col>8</xdr:col>
      <xdr:colOff>25014</xdr:colOff>
      <xdr:row>3</xdr:row>
      <xdr:rowOff>54067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77A5D7-DE18-4D6B-9A8F-4F3304061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1111" y1="26667" x2="26222" y2="67556"/>
                      <a14:backgroundMark x1="15556" y1="7556" x2="83111" y2="14222"/>
                    </a14:backgroundRemoval>
                  </a14:imgEffect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94" t="15135" r="10682" b="15676"/>
        <a:stretch/>
      </xdr:blipFill>
      <xdr:spPr>
        <a:xfrm>
          <a:off x="4864068" y="801413"/>
          <a:ext cx="1125567" cy="96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26362</xdr:colOff>
      <xdr:row>2</xdr:row>
      <xdr:rowOff>31398</xdr:rowOff>
    </xdr:from>
    <xdr:to>
      <xdr:col>6</xdr:col>
      <xdr:colOff>748159</xdr:colOff>
      <xdr:row>2</xdr:row>
      <xdr:rowOff>749436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02639-26BA-405E-82FB-50A9A83DB6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3149" t="-216" r="24076" b="216"/>
        <a:stretch/>
      </xdr:blipFill>
      <xdr:spPr>
        <a:xfrm>
          <a:off x="3323983" y="983898"/>
          <a:ext cx="721797" cy="718038"/>
        </a:xfrm>
        <a:prstGeom prst="rect">
          <a:avLst/>
        </a:prstGeom>
      </xdr:spPr>
    </xdr:pic>
    <xdr:clientData/>
  </xdr:twoCellAnchor>
  <xdr:oneCellAnchor>
    <xdr:from>
      <xdr:col>5</xdr:col>
      <xdr:colOff>542191</xdr:colOff>
      <xdr:row>20</xdr:row>
      <xdr:rowOff>109318</xdr:rowOff>
    </xdr:from>
    <xdr:ext cx="1055077" cy="51494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0CB85-D2E7-4BF1-BCC3-0A4EED3EA405}"/>
            </a:ext>
          </a:extLst>
        </xdr:cNvPr>
        <xdr:cNvSpPr txBox="1"/>
      </xdr:nvSpPr>
      <xdr:spPr>
        <a:xfrm>
          <a:off x="3077306" y="5062318"/>
          <a:ext cx="1055077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5" tooltip="http://informationtransfereconomics.blogspot.com/2017/02/information-equilibrium-code.html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6" tooltip="https://creativecommons.org/licenses/by/3.0/"/>
            </a:rPr>
            <a:t>CC BY</a:t>
          </a:r>
          <a:endParaRPr lang="es-AR" sz="900"/>
        </a:p>
      </xdr:txBody>
    </xdr:sp>
    <xdr:clientData/>
  </xdr:oneCellAnchor>
  <xdr:twoCellAnchor>
    <xdr:from>
      <xdr:col>5</xdr:col>
      <xdr:colOff>59872</xdr:colOff>
      <xdr:row>2</xdr:row>
      <xdr:rowOff>59121</xdr:rowOff>
    </xdr:from>
    <xdr:to>
      <xdr:col>5</xdr:col>
      <xdr:colOff>707872</xdr:colOff>
      <xdr:row>2</xdr:row>
      <xdr:rowOff>709448</xdr:rowOff>
    </xdr:to>
    <xdr:grpSp>
      <xdr:nvGrpSpPr>
        <xdr:cNvPr id="14" name="Grup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A665E1-826F-46DD-8AE3-5BCC3E340EBE}"/>
            </a:ext>
          </a:extLst>
        </xdr:cNvPr>
        <xdr:cNvGrpSpPr/>
      </xdr:nvGrpSpPr>
      <xdr:grpSpPr>
        <a:xfrm>
          <a:off x="3356987" y="1011621"/>
          <a:ext cx="648000" cy="650327"/>
          <a:chOff x="2596243" y="1011621"/>
          <a:chExt cx="648000" cy="650327"/>
        </a:xfrm>
      </xdr:grpSpPr>
      <xdr:sp macro="" textlink="">
        <xdr:nvSpPr>
          <xdr:cNvPr id="10" name="Triángulo isósceles 9">
            <a:extLst>
              <a:ext uri="{FF2B5EF4-FFF2-40B4-BE49-F238E27FC236}">
                <a16:creationId xmlns:a16="http://schemas.microsoft.com/office/drawing/2014/main" id="{237492C4-6460-47E5-9E7B-83C93FF949EE}"/>
              </a:ext>
            </a:extLst>
          </xdr:cNvPr>
          <xdr:cNvSpPr/>
        </xdr:nvSpPr>
        <xdr:spPr>
          <a:xfrm>
            <a:off x="2815999" y="1182414"/>
            <a:ext cx="428244" cy="472965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BCC26A3D-026F-45C8-AE4B-2238DD665979}"/>
              </a:ext>
            </a:extLst>
          </xdr:cNvPr>
          <xdr:cNvGrpSpPr/>
        </xdr:nvGrpSpPr>
        <xdr:grpSpPr>
          <a:xfrm>
            <a:off x="2596243" y="1011621"/>
            <a:ext cx="489857" cy="650327"/>
            <a:chOff x="2596243" y="1011621"/>
            <a:chExt cx="489857" cy="650327"/>
          </a:xfrm>
        </xdr:grpSpPr>
        <xdr:sp macro="" textlink="">
          <xdr:nvSpPr>
            <xdr:cNvPr id="7" name="Paralelogramo 6">
              <a:extLst>
                <a:ext uri="{FF2B5EF4-FFF2-40B4-BE49-F238E27FC236}">
                  <a16:creationId xmlns:a16="http://schemas.microsoft.com/office/drawing/2014/main" id="{43AF4F17-B3AE-44AD-B7DC-5D78267E3490}"/>
                </a:ext>
              </a:extLst>
            </xdr:cNvPr>
            <xdr:cNvSpPr/>
          </xdr:nvSpPr>
          <xdr:spPr>
            <a:xfrm>
              <a:off x="2596243" y="1011621"/>
              <a:ext cx="445148" cy="650327"/>
            </a:xfrm>
            <a:prstGeom prst="parallelogram">
              <a:avLst>
                <a:gd name="adj" fmla="val 72111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1" name="Triángulo isósceles 10">
              <a:extLst>
                <a:ext uri="{FF2B5EF4-FFF2-40B4-BE49-F238E27FC236}">
                  <a16:creationId xmlns:a16="http://schemas.microsoft.com/office/drawing/2014/main" id="{93738D76-3A9B-4AB7-8BBF-5C638E0E6F92}"/>
                </a:ext>
              </a:extLst>
            </xdr:cNvPr>
            <xdr:cNvSpPr/>
          </xdr:nvSpPr>
          <xdr:spPr>
            <a:xfrm>
              <a:off x="2775857" y="1240970"/>
              <a:ext cx="310243" cy="315875"/>
            </a:xfrm>
            <a:prstGeom prst="triangl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</xdr:grpSp>
    <xdr:clientData/>
  </xdr:twoCellAnchor>
  <xdr:twoCellAnchor editAs="oneCell">
    <xdr:from>
      <xdr:col>7</xdr:col>
      <xdr:colOff>203818</xdr:colOff>
      <xdr:row>0</xdr:row>
      <xdr:rowOff>19707</xdr:rowOff>
    </xdr:from>
    <xdr:to>
      <xdr:col>7</xdr:col>
      <xdr:colOff>922327</xdr:colOff>
      <xdr:row>0</xdr:row>
      <xdr:rowOff>739707</xdr:rowOff>
    </xdr:to>
    <xdr:pic>
      <xdr:nvPicPr>
        <xdr:cNvPr id="17" name="Gráfico 16" descr="Hogar con relleno sólido">
          <a:extLst>
            <a:ext uri="{FF2B5EF4-FFF2-40B4-BE49-F238E27FC236}">
              <a16:creationId xmlns:a16="http://schemas.microsoft.com/office/drawing/2014/main" id="{76D2EF20-7EC0-4FA2-ACF5-5A76F74FB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5439" y="19707"/>
          <a:ext cx="718509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43239</xdr:colOff>
      <xdr:row>2</xdr:row>
      <xdr:rowOff>43239</xdr:rowOff>
    </xdr:from>
    <xdr:to>
      <xdr:col>5</xdr:col>
      <xdr:colOff>1239</xdr:colOff>
      <xdr:row>3</xdr:row>
      <xdr:rowOff>1239</xdr:rowOff>
    </xdr:to>
    <xdr:pic>
      <xdr:nvPicPr>
        <xdr:cNvPr id="21" name="Gráfico 20" descr="Lápiz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014007C-0406-4B24-9F57-575E92F2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15717" y="9957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19304</xdr:colOff>
      <xdr:row>2</xdr:row>
      <xdr:rowOff>27587</xdr:rowOff>
    </xdr:from>
    <xdr:to>
      <xdr:col>2</xdr:col>
      <xdr:colOff>739304</xdr:colOff>
      <xdr:row>2</xdr:row>
      <xdr:rowOff>747587</xdr:rowOff>
    </xdr:to>
    <xdr:pic>
      <xdr:nvPicPr>
        <xdr:cNvPr id="23" name="Gráfico 22" descr="Correo electrónic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08A190-9E70-4AFF-A8B3-45B09D1B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29782" y="9800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20217</xdr:colOff>
      <xdr:row>2</xdr:row>
      <xdr:rowOff>53348</xdr:rowOff>
    </xdr:from>
    <xdr:to>
      <xdr:col>1</xdr:col>
      <xdr:colOff>740217</xdr:colOff>
      <xdr:row>3</xdr:row>
      <xdr:rowOff>11348</xdr:rowOff>
    </xdr:to>
    <xdr:pic>
      <xdr:nvPicPr>
        <xdr:cNvPr id="25" name="Gráfico 24" descr="Documento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A1FFC59-70E4-48E4-943C-13B3CDA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68695" y="10058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7707</xdr:colOff>
      <xdr:row>0</xdr:row>
      <xdr:rowOff>21416</xdr:rowOff>
    </xdr:from>
    <xdr:to>
      <xdr:col>6</xdr:col>
      <xdr:colOff>727707</xdr:colOff>
      <xdr:row>0</xdr:row>
      <xdr:rowOff>741416</xdr:rowOff>
    </xdr:to>
    <xdr:pic>
      <xdr:nvPicPr>
        <xdr:cNvPr id="27" name="Gráfico 26" descr="Tendencia al alza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1AD432C-FCC0-417E-A9D4-37F00040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305328" y="2141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28613</xdr:colOff>
      <xdr:row>0</xdr:row>
      <xdr:rowOff>50319</xdr:rowOff>
    </xdr:from>
    <xdr:to>
      <xdr:col>5</xdr:col>
      <xdr:colOff>748613</xdr:colOff>
      <xdr:row>1</xdr:row>
      <xdr:rowOff>8319</xdr:rowOff>
    </xdr:to>
    <xdr:pic>
      <xdr:nvPicPr>
        <xdr:cNvPr id="29" name="Gráfico 28" descr="Dinero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A6084AA-F53F-468A-9B32-1E695426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564234" y="5031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26384</xdr:colOff>
      <xdr:row>0</xdr:row>
      <xdr:rowOff>124347</xdr:rowOff>
    </xdr:from>
    <xdr:to>
      <xdr:col>4</xdr:col>
      <xdr:colOff>746384</xdr:colOff>
      <xdr:row>1</xdr:row>
      <xdr:rowOff>82347</xdr:rowOff>
    </xdr:to>
    <xdr:pic>
      <xdr:nvPicPr>
        <xdr:cNvPr id="31" name="Gráfico 30" descr="Camión con relleno sólid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AA7C475-B37A-4CCE-B2D4-940C1D2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800005" y="1243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17300</xdr:colOff>
      <xdr:row>0</xdr:row>
      <xdr:rowOff>0</xdr:rowOff>
    </xdr:from>
    <xdr:to>
      <xdr:col>2</xdr:col>
      <xdr:colOff>737300</xdr:colOff>
      <xdr:row>0</xdr:row>
      <xdr:rowOff>720000</xdr:rowOff>
    </xdr:to>
    <xdr:pic>
      <xdr:nvPicPr>
        <xdr:cNvPr id="33" name="Gráfico 32" descr="Lista con relleno sólid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4F3F5FD-BAC2-44B2-BB0B-6FFDFEBE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28921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29638</xdr:colOff>
      <xdr:row>0</xdr:row>
      <xdr:rowOff>28211</xdr:rowOff>
    </xdr:from>
    <xdr:to>
      <xdr:col>1</xdr:col>
      <xdr:colOff>749638</xdr:colOff>
      <xdr:row>0</xdr:row>
      <xdr:rowOff>748211</xdr:rowOff>
    </xdr:to>
    <xdr:pic>
      <xdr:nvPicPr>
        <xdr:cNvPr id="35" name="Gráfico 34" descr="Identificación de empleado con relleno sólid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05D4C4E-113F-4FC2-A953-6E2C58AE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279259" y="2821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6569</xdr:colOff>
      <xdr:row>2</xdr:row>
      <xdr:rowOff>65690</xdr:rowOff>
    </xdr:from>
    <xdr:to>
      <xdr:col>3</xdr:col>
      <xdr:colOff>726569</xdr:colOff>
      <xdr:row>3</xdr:row>
      <xdr:rowOff>95949</xdr:rowOff>
    </xdr:to>
    <xdr:pic>
      <xdr:nvPicPr>
        <xdr:cNvPr id="37" name="Gráfico 36" descr="Maestro con relleno sólid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7EC6615-3B9D-4625-963F-E79BA1A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780190" y="1018190"/>
          <a:ext cx="720000" cy="792259"/>
        </a:xfrm>
        <a:prstGeom prst="rect">
          <a:avLst/>
        </a:prstGeom>
      </xdr:spPr>
    </xdr:pic>
    <xdr:clientData/>
  </xdr:twoCellAnchor>
  <xdr:twoCellAnchor editAs="oneCell">
    <xdr:from>
      <xdr:col>3</xdr:col>
      <xdr:colOff>18622</xdr:colOff>
      <xdr:row>0</xdr:row>
      <xdr:rowOff>32845</xdr:rowOff>
    </xdr:from>
    <xdr:to>
      <xdr:col>3</xdr:col>
      <xdr:colOff>738622</xdr:colOff>
      <xdr:row>0</xdr:row>
      <xdr:rowOff>752845</xdr:rowOff>
    </xdr:to>
    <xdr:pic>
      <xdr:nvPicPr>
        <xdr:cNvPr id="39" name="Gráfico 38" descr="Base de datos con relleno sólid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F5AC3CF-96E8-4D64-933D-5F14965FC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792243" y="32845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6A93-CD6C-405F-8330-9C001880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9F8D-2ABF-4A55-AA7E-0BDEAE59C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374570</xdr:rowOff>
    </xdr:from>
    <xdr:to>
      <xdr:col>0</xdr:col>
      <xdr:colOff>208575</xdr:colOff>
      <xdr:row>0</xdr:row>
      <xdr:rowOff>554570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6C6AF-DD3F-4AF2-B521-08A15E93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28575" y="374570"/>
          <a:ext cx="180000" cy="1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E7848-5AE7-4C4C-9124-8375E246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11</xdr:col>
      <xdr:colOff>373990</xdr:colOff>
      <xdr:row>7</xdr:row>
      <xdr:rowOff>76200</xdr:rowOff>
    </xdr:from>
    <xdr:to>
      <xdr:col>13</xdr:col>
      <xdr:colOff>270681</xdr:colOff>
      <xdr:row>19</xdr:row>
      <xdr:rowOff>32302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26125B25-1D7F-422D-B0C8-AD9A94072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2952" y="1439008"/>
              <a:ext cx="1266825" cy="224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319549</xdr:colOff>
      <xdr:row>7</xdr:row>
      <xdr:rowOff>85725</xdr:rowOff>
    </xdr:from>
    <xdr:to>
      <xdr:col>15</xdr:col>
      <xdr:colOff>11085</xdr:colOff>
      <xdr:row>19</xdr:row>
      <xdr:rowOff>41827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3BB6FFCD-4B52-4761-8F83-BE2D8AFD5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645" y="1448533"/>
              <a:ext cx="1266825" cy="224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168FF-7D10-4FB7-9DF8-C368ACC2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11</xdr:col>
      <xdr:colOff>683118</xdr:colOff>
      <xdr:row>0</xdr:row>
      <xdr:rowOff>0</xdr:rowOff>
    </xdr:from>
    <xdr:to>
      <xdr:col>13</xdr:col>
      <xdr:colOff>477246</xdr:colOff>
      <xdr:row>10</xdr:row>
      <xdr:rowOff>22777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mpleado">
              <a:extLst>
                <a:ext uri="{FF2B5EF4-FFF2-40B4-BE49-F238E27FC236}">
                  <a16:creationId xmlns:a16="http://schemas.microsoft.com/office/drawing/2014/main" id="{49E2AA26-0C85-4C34-AA08-61871E79F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e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4205" y="0"/>
              <a:ext cx="1318128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565628</xdr:colOff>
      <xdr:row>0</xdr:row>
      <xdr:rowOff>0</xdr:rowOff>
    </xdr:from>
    <xdr:to>
      <xdr:col>15</xdr:col>
      <xdr:colOff>220024</xdr:colOff>
      <xdr:row>10</xdr:row>
      <xdr:rowOff>22777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86688E13-B778-4F17-81A6-B200C98A5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715" y="0"/>
              <a:ext cx="1178396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1C1AA-53DA-485F-A9C4-7BCBE10A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>
    <xdr:from>
      <xdr:col>0</xdr:col>
      <xdr:colOff>74543</xdr:colOff>
      <xdr:row>1</xdr:row>
      <xdr:rowOff>91107</xdr:rowOff>
    </xdr:from>
    <xdr:to>
      <xdr:col>8</xdr:col>
      <xdr:colOff>66261</xdr:colOff>
      <xdr:row>20</xdr:row>
      <xdr:rowOff>149087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F9B60-E571-458C-A0CC-1262221FB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115957</xdr:colOff>
      <xdr:row>1</xdr:row>
      <xdr:rowOff>82825</xdr:rowOff>
    </xdr:from>
    <xdr:to>
      <xdr:col>13</xdr:col>
      <xdr:colOff>745435</xdr:colOff>
      <xdr:row>20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35531D-9680-479D-81C6-A34E4372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92351</xdr:colOff>
      <xdr:row>21</xdr:row>
      <xdr:rowOff>28575</xdr:rowOff>
    </xdr:from>
    <xdr:to>
      <xdr:col>5</xdr:col>
      <xdr:colOff>738395</xdr:colOff>
      <xdr:row>40</xdr:row>
      <xdr:rowOff>78271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D359B9-A87C-4414-B5F9-5A631C363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21</xdr:row>
      <xdr:rowOff>28575</xdr:rowOff>
    </xdr:from>
    <xdr:to>
      <xdr:col>13</xdr:col>
      <xdr:colOff>752474</xdr:colOff>
      <xdr:row>40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47DD50-8606-4825-A867-284AE80E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123824</xdr:colOff>
      <xdr:row>40</xdr:row>
      <xdr:rowOff>142874</xdr:rowOff>
    </xdr:from>
    <xdr:to>
      <xdr:col>13</xdr:col>
      <xdr:colOff>761999</xdr:colOff>
      <xdr:row>60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D58AB6-A023-4CE5-A431-5CB5B2EE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40</xdr:row>
      <xdr:rowOff>142874</xdr:rowOff>
    </xdr:from>
    <xdr:to>
      <xdr:col>8</xdr:col>
      <xdr:colOff>28575</xdr:colOff>
      <xdr:row>60</xdr:row>
      <xdr:rowOff>19049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EBFCC70-44AD-4C92-A8F9-5FDA2DD70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08C1BA63-FB4B-4B37-BCB8-C59309AE4B91}" sourceName="Categoria">
  <extLst>
    <x:ext xmlns:x15="http://schemas.microsoft.com/office/spreadsheetml/2010/11/main" uri="{2F2917AC-EB37-4324-AD4E-5DD8C200BD13}">
      <x15:tableSlicerCache tableId="7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FA10C232-3EA4-4485-B0EB-D299D06B3064}" sourceName="Marca">
  <extLst>
    <x:ext xmlns:x15="http://schemas.microsoft.com/office/spreadsheetml/2010/11/main" uri="{2F2917AC-EB37-4324-AD4E-5DD8C200BD13}">
      <x15:tableSlicerCache tableId="7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leado" xr10:uid="{15E8E944-7428-473E-9557-6A187ABA2838}" sourceName="Empleado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CBA62A1-8EBF-4BE8-9A7F-F7228BE4E172}" sourceName="Producto">
  <extLst>
    <x:ext xmlns:x15="http://schemas.microsoft.com/office/spreadsheetml/2010/11/main" uri="{2F2917AC-EB37-4324-AD4E-5DD8C200BD13}">
      <x15:tableSlicerCache tableId="5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E441EB7-F6DE-4F6A-B6D8-00AA726D0F77}" cache="SegmentaciónDeDatos_Categoria" caption="Categoria" rowHeight="241300"/>
  <slicer name="Marca" xr10:uid="{06939A73-CF39-48F1-9DCA-B7ED514D2495}" cache="SegmentaciónDeDatos_Marca" caption="Marca" startItem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eado" xr10:uid="{F0A3EAD6-38A8-44D3-B735-B9848CED9562}" cache="SegmentaciónDeDatos_Empleado" caption="Empleado" startItem="1" rowHeight="241300"/>
  <slicer name="Producto" xr10:uid="{4E70F67D-9C31-45B5-A470-342FB74F1837}" cache="SegmentaciónDeDatos_Producto" caption="Produc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30"/>
    <tableColumn id="6" xr3:uid="{D4533D99-3030-48D8-95FA-AB65ECFD7909}" name="Edad" dataDxfId="29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28">
      <calculatedColumnFormula>LEFT(tabla_empleados[[#This Row],[CUIL]],2)</calculatedColumnFormula>
    </tableColumn>
    <tableColumn id="11" xr3:uid="{FC13B777-A483-475A-8B84-2A386013D7AE}" name="DU" dataDxfId="27" dataCellStyle="Millares">
      <calculatedColumnFormula>MID(tabla_empleados[[#This Row],[CUIL]],4,8)</calculatedColumnFormula>
    </tableColumn>
    <tableColumn id="10" xr3:uid="{8F4046EF-FE5C-48DC-A976-96DB774EC283}" name="V" dataDxfId="26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B1:I9" totalsRowShown="0">
  <autoFilter ref="B1:I9" xr:uid="{CADF3F30-502A-4F21-BCA4-ECFD83EEB22A}"/>
  <sortState xmlns:xlrd2="http://schemas.microsoft.com/office/spreadsheetml/2017/richdata2" ref="B2:I9">
    <sortCondition ref="C1:C9"/>
  </sortState>
  <tableColumns count="8">
    <tableColumn id="1" xr3:uid="{29B4FC90-C2F0-4B58-BFFA-F95ED0272441}" name="Empleado">
      <calculatedColumnFormula>TRIM(presentismo!B2)</calculatedColumnFormula>
    </tableColumn>
    <tableColumn id="8" xr3:uid="{D80479C4-D809-4CDB-91A7-BD696031D3A2}" name="Codigo"/>
    <tableColumn id="2" xr3:uid="{D3F48162-106C-421E-BE38-BF662E293D6F}" name="Nombre" dataDxfId="25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24">
      <calculatedColumnFormula>LEFT(tabla_datos[[#This Row],[Empleado]],tabla_datos[[#This Row],[posicion]]-1)</calculatedColumnFormula>
    </tableColumn>
    <tableColumn id="4" xr3:uid="{2A2B9009-32C3-43F8-B562-B70931954ACA}" name="posicion" dataDxfId="23">
      <calculatedColumnFormula>FIND(char,tabla_datos[[#This Row],[Empleado]])</calculatedColumnFormula>
    </tableColumn>
    <tableColumn id="5" xr3:uid="{D1BEFD8D-0CE7-4A41-AA4D-42AF9EBA799E}" name="largo" dataDxfId="22">
      <calculatedColumnFormula>LEN(tabla_datos[[#This Row],[Empleado]])</calculatedColumnFormula>
    </tableColumn>
    <tableColumn id="6" xr3:uid="{6B6D30C1-3F3F-4F3E-ADFA-2254F14415E5}" name="Ventas" dataDxfId="12">
      <calculatedColumnFormula>COUNTIF(tabla_ventas[Empleado],tabla_datos[[#This Row],[Codigo]])</calculatedColumnFormula>
    </tableColumn>
    <tableColumn id="7" xr3:uid="{6BDDF0CB-3B6F-45A4-9838-E9A224BE1A5C}" name="Total" dataDxfId="11">
      <calculatedColumnFormula>SUMIF(tabla_ventas[Empleado],tabla_datos[[#This Row],[Codigo]],tabla_ventas[Total])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J16" totalsRowShown="0">
  <autoFilter ref="B1:J16" xr:uid="{ADDAA7C3-8992-47A2-86C7-7945438D7830}"/>
  <tableColumns count="9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6" xr3:uid="{8AD67E95-33F4-4917-8010-B9B9BE92932A}" name="Marca"/>
    <tableColumn id="4" xr3:uid="{209B8B63-279F-4DFD-BA4F-BF7824FD5CDB}" name="Precio" dataDxfId="3" dataCellStyle="Moneda"/>
    <tableColumn id="5" xr3:uid="{7135D432-720D-459D-9195-F6688B903E57}" name="Stock" dataDxfId="2"/>
    <tableColumn id="7" xr3:uid="{43CB8A00-16A8-4DE1-8CC2-D454393D663A}" name="Vendidos" dataDxfId="1" dataCellStyle="Moneda">
      <calculatedColumnFormula>SUMIF(tabla_ventas[Producto],tabla_productos[[#This Row],[Codigo]],tabla_ventas[Cantidad])</calculatedColumnFormula>
    </tableColumn>
    <tableColumn id="8" xr3:uid="{C1CAEC58-591D-448C-B413-2A66BEC55BAE}" name="Recaudado" dataCellStyle="Moneda">
      <calculatedColumnFormula>SUMIF(tabla_ventas[Producto],tabla_productos[[#This Row],[Codigo]],tabla_ventas[Total])</calculatedColumnFormula>
    </tableColumn>
    <tableColumn id="9" xr3:uid="{E2E7E38B-5414-4035-87E8-0566B43B01AD}" name="ventas" dataDxfId="0">
      <calculatedColumnFormula>COUNTIF(tabla_ventas[Producto],tabla_productos[[#This Row],[Codigo]])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19" headerRowDxfId="21" tableBorderDxfId="20">
  <autoFilter ref="B1:H19" xr:uid="{5B7BE9E3-1F6B-4C52-A712-203172B63C6D}"/>
  <sortState xmlns:xlrd2="http://schemas.microsoft.com/office/spreadsheetml/2017/richdata2" ref="B2:H16">
    <sortCondition ref="B1:B16"/>
  </sortState>
  <tableColumns count="7">
    <tableColumn id="1" xr3:uid="{31B77BF3-F71D-4B5D-AF5C-A28560ECDE55}" name="Factura" totalsRowLabel="Total" dataDxfId="19" totalsRowDxfId="4"/>
    <tableColumn id="2" xr3:uid="{4C658C36-B580-4A21-A06E-0956BA203137}" name="Empleado" totalsRowFunction="count" dataDxfId="18" totalsRowDxfId="5"/>
    <tableColumn id="3" xr3:uid="{A5C8E11D-5A43-413B-9D24-FAD6A6614655}" name="Producto" dataDxfId="17" totalsRowDxfId="6"/>
    <tableColumn id="4" xr3:uid="{3BDB2312-175F-4B61-B51F-A882480AF1A8}" name="Cantidad" totalsRowFunction="average" dataDxfId="16" totalsRowDxfId="7"/>
    <tableColumn id="5" xr3:uid="{E161D830-809F-44B0-A151-6F8E4CE0FCD6}" name="Precio" totalsRowFunction="average" dataDxfId="15" totalsRowDxfId="8" dataCellStyle="Moneda"/>
    <tableColumn id="6" xr3:uid="{D9028267-BECA-428C-9F0D-876734E3BF87}" name="Total" totalsRowFunction="average" dataDxfId="14" totalsRowDxfId="9">
      <calculatedColumnFormula>tabla_ventas[[#This Row],[Cantidad]]*tabla_ventas[[#This Row],[Precio]]</calculatedColumnFormula>
    </tableColumn>
    <tableColumn id="7" xr3:uid="{160839D5-6282-48BE-AE1D-FFDF6A0A18B3}" name="final" totalsRowFunction="sum" dataDxfId="13" totalsRowDxfId="10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docs\atajos-teclado.do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hyperlink" Target="introduccion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H4"/>
  <sheetViews>
    <sheetView zoomScale="130" zoomScaleNormal="130" zoomScaleSheetLayoutView="50" workbookViewId="0">
      <selection sqref="A1:A2"/>
    </sheetView>
  </sheetViews>
  <sheetFormatPr baseColWidth="10" defaultRowHeight="15" x14ac:dyDescent="0.25"/>
  <cols>
    <col min="1" max="1" width="3.7109375" bestFit="1" customWidth="1"/>
    <col min="8" max="8" width="17.140625" customWidth="1"/>
  </cols>
  <sheetData>
    <row r="1" spans="1:8" ht="60" customHeight="1" x14ac:dyDescent="0.25">
      <c r="A1" s="49" t="s">
        <v>126</v>
      </c>
      <c r="H1" s="44"/>
    </row>
    <row r="2" spans="1:8" x14ac:dyDescent="0.25">
      <c r="A2" s="49"/>
      <c r="B2" s="47" t="s">
        <v>69</v>
      </c>
      <c r="C2" s="47" t="s">
        <v>128</v>
      </c>
      <c r="D2" s="47" t="s">
        <v>137</v>
      </c>
      <c r="E2" s="47" t="s">
        <v>129</v>
      </c>
      <c r="F2" s="47" t="s">
        <v>130</v>
      </c>
      <c r="G2" s="47" t="s">
        <v>67</v>
      </c>
      <c r="H2" s="44"/>
    </row>
    <row r="3" spans="1:8" ht="60" customHeight="1" x14ac:dyDescent="0.25">
      <c r="A3" s="49" t="s">
        <v>127</v>
      </c>
      <c r="B3" s="23"/>
      <c r="C3" s="23"/>
      <c r="D3" s="23"/>
      <c r="E3" s="23"/>
      <c r="F3" s="23"/>
      <c r="G3" s="23"/>
      <c r="H3" s="44"/>
    </row>
    <row r="4" spans="1:8" x14ac:dyDescent="0.25">
      <c r="A4" s="49"/>
      <c r="B4" s="47" t="s">
        <v>131</v>
      </c>
      <c r="C4" s="47" t="s">
        <v>132</v>
      </c>
      <c r="D4" s="47" t="s">
        <v>138</v>
      </c>
      <c r="E4" s="47" t="s">
        <v>133</v>
      </c>
      <c r="F4" s="47" t="s">
        <v>134</v>
      </c>
      <c r="G4" s="47" t="s">
        <v>135</v>
      </c>
      <c r="H4" s="44"/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E2" location="productos!A1" display="Productos" xr:uid="{233EA16B-6356-446D-B3AB-846315C8DBA2}"/>
    <hyperlink ref="F2" location="ventas!A1" display="Ventas" xr:uid="{2A2E4FDB-9636-456E-8F57-637A5722BD88}"/>
    <hyperlink ref="G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E4" r:id="rId3" xr:uid="{C4A47B32-ED93-43FC-932A-E249AECE7D9F}"/>
    <hyperlink ref="F4" r:id="rId4" xr:uid="{93934089-63E0-4589-9A50-51B80B978C11}"/>
    <hyperlink ref="G4" r:id="rId5" xr:uid="{12B07B36-8EA2-46DA-BB99-D9FA342E582F}"/>
    <hyperlink ref="D2" location="Datos!A1" display="Datos" xr:uid="{E18D4BFF-FE9D-4737-9DAE-DD971379E1F0}"/>
    <hyperlink ref="D4" r:id="rId6" xr:uid="{F43857B0-7367-48EA-A3C3-68B996FAA8A6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="145" zoomScaleNormal="145"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1.5703125" customWidth="1"/>
    <col min="2" max="2" width="4.71093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3" customWidth="1"/>
    <col min="9" max="9" width="10.7109375" style="24" bestFit="1" customWidth="1"/>
    <col min="10" max="10" width="5.42578125" style="23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5" t="s">
        <v>136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3" t="s">
        <v>88</v>
      </c>
      <c r="I1" s="24" t="s">
        <v>89</v>
      </c>
      <c r="J1" s="23" t="s">
        <v>90</v>
      </c>
      <c r="K1" t="s">
        <v>6</v>
      </c>
      <c r="M1" s="6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8" t="s">
        <v>87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2">
        <f ca="1">año_actual-YEAR(tabla_empleados[[#This Row],[Nacimiento]])</f>
        <v>31</v>
      </c>
      <c r="G2" t="s">
        <v>9</v>
      </c>
      <c r="H2" s="23" t="str">
        <f>LEFT(tabla_empleados[[#This Row],[CUIL]],2)</f>
        <v>20</v>
      </c>
      <c r="I2" s="24" t="str">
        <f>MID(tabla_empleados[[#This Row],[CUIL]],4,8)</f>
        <v>35336336</v>
      </c>
      <c r="J2" s="23" t="str">
        <f>RIGHT(tabla_empleados[[#This Row],[CUIL]],1)</f>
        <v>5</v>
      </c>
      <c r="K2" t="s">
        <v>10</v>
      </c>
      <c r="M2" s="41">
        <f ca="1">TODAY()</f>
        <v>44911</v>
      </c>
      <c r="N2" s="42">
        <f ca="1">NOW()</f>
        <v>44911.66092962963</v>
      </c>
      <c r="O2" s="5">
        <f ca="1">YEAR(fecha_actual)</f>
        <v>2022</v>
      </c>
      <c r="P2" s="5">
        <f ca="1">MONTH(fecha_actual)</f>
        <v>12</v>
      </c>
      <c r="Q2" s="5">
        <f ca="1">DAY(fecha_actual)</f>
        <v>16</v>
      </c>
      <c r="R2" s="5">
        <f ca="1">HOUR(N2)</f>
        <v>15</v>
      </c>
      <c r="S2" s="5">
        <f ca="1">MINUTE(N2)</f>
        <v>51</v>
      </c>
      <c r="T2" s="18">
        <f ca="1">SECOND(N2)</f>
        <v>44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2">
        <f ca="1">año_actual-YEAR(tabla_empleados[[#This Row],[Nacimiento]])</f>
        <v>29</v>
      </c>
      <c r="G3" t="s">
        <v>12</v>
      </c>
      <c r="H3" s="23" t="str">
        <f>LEFT(tabla_empleados[[#This Row],[CUIL]],2)</f>
        <v>20</v>
      </c>
      <c r="I3" s="24" t="str">
        <f>MID(tabla_empleados[[#This Row],[CUIL]],4,8)</f>
        <v>38883443</v>
      </c>
      <c r="J3" s="23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2">
        <f ca="1">año_actual-YEAR(tabla_empleados[[#This Row],[Nacimiento]])</f>
        <v>22</v>
      </c>
      <c r="G4" t="s">
        <v>16</v>
      </c>
      <c r="H4" s="23" t="str">
        <f>LEFT(tabla_empleados[[#This Row],[CUIL]],2)</f>
        <v>27</v>
      </c>
      <c r="I4" s="24" t="str">
        <f>MID(tabla_empleados[[#This Row],[CUIL]],4,8)</f>
        <v>91028301</v>
      </c>
      <c r="J4" s="23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2">
        <f ca="1">año_actual-YEAR(tabla_empleados[[#This Row],[Nacimiento]])</f>
        <v>36</v>
      </c>
      <c r="G5" t="s">
        <v>20</v>
      </c>
      <c r="H5" s="23" t="str">
        <f>LEFT(tabla_empleados[[#This Row],[CUIL]],2)</f>
        <v>20</v>
      </c>
      <c r="I5" s="24" t="str">
        <f>MID(tabla_empleados[[#This Row],[CUIL]],4,8)</f>
        <v>18273913</v>
      </c>
      <c r="J5" s="23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2">
        <f ca="1">año_actual-YEAR(tabla_empleados[[#This Row],[Nacimiento]])</f>
        <v>23</v>
      </c>
      <c r="G6" t="s">
        <v>24</v>
      </c>
      <c r="H6" s="23" t="str">
        <f>LEFT(tabla_empleados[[#This Row],[CUIL]],2)</f>
        <v>27</v>
      </c>
      <c r="I6" s="24" t="str">
        <f>MID(tabla_empleados[[#This Row],[CUIL]],4,8)</f>
        <v>19023885</v>
      </c>
      <c r="J6" s="23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2">
        <f ca="1">año_actual-YEAR(tabla_empleados[[#This Row],[Nacimiento]])</f>
        <v>20</v>
      </c>
      <c r="G7" t="s">
        <v>28</v>
      </c>
      <c r="H7" s="23" t="str">
        <f>LEFT(tabla_empleados[[#This Row],[CUIL]],2)</f>
        <v>27</v>
      </c>
      <c r="I7" s="24" t="str">
        <f>MID(tabla_empleados[[#This Row],[CUIL]],4,8)</f>
        <v>40279384</v>
      </c>
      <c r="J7" s="23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2">
        <f ca="1">año_actual-YEAR(tabla_empleados[[#This Row],[Nacimiento]])</f>
        <v>39</v>
      </c>
      <c r="G8" t="s">
        <v>32</v>
      </c>
      <c r="H8" s="23" t="str">
        <f>LEFT(tabla_empleados[[#This Row],[CUIL]],2)</f>
        <v>20</v>
      </c>
      <c r="I8" s="24" t="str">
        <f>MID(tabla_empleados[[#This Row],[CUIL]],4,8)</f>
        <v>84973329</v>
      </c>
      <c r="J8" s="23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2">
        <f ca="1">año_actual-YEAR(tabla_empleados[[#This Row],[Nacimiento]])</f>
        <v>29</v>
      </c>
      <c r="G9" t="s">
        <v>36</v>
      </c>
      <c r="H9" s="23" t="str">
        <f>LEFT(tabla_empleados[[#This Row],[CUIL]],2)</f>
        <v>20</v>
      </c>
      <c r="I9" s="24" t="str">
        <f>MID(tabla_empleados[[#This Row],[CUIL]],4,8)</f>
        <v>37891223</v>
      </c>
      <c r="J9" s="23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N9"/>
  <sheetViews>
    <sheetView topLeftCell="F1" zoomScale="145" zoomScaleNormal="145" workbookViewId="0">
      <selection activeCell="I5" sqref="I5"/>
    </sheetView>
  </sheetViews>
  <sheetFormatPr baseColWidth="10" defaultRowHeight="15" x14ac:dyDescent="0.25"/>
  <cols>
    <col min="1" max="1" width="10.7109375" style="48" customWidth="1"/>
    <col min="2" max="2" width="1" customWidth="1"/>
    <col min="3" max="3" width="9.42578125" bestFit="1" customWidth="1"/>
    <col min="4" max="4" width="10.5703125" bestFit="1" customWidth="1"/>
    <col min="5" max="5" width="11" bestFit="1" customWidth="1"/>
    <col min="6" max="6" width="3" customWidth="1"/>
    <col min="7" max="7" width="3.7109375" customWidth="1"/>
    <col min="8" max="8" width="9.42578125" bestFit="1" customWidth="1"/>
    <col min="9" max="9" width="14.85546875" bestFit="1" customWidth="1"/>
    <col min="10" max="10" width="2.85546875" customWidth="1"/>
    <col min="11" max="11" width="11.42578125" hidden="1" customWidth="1"/>
    <col min="12" max="12" width="11.140625" bestFit="1" customWidth="1"/>
    <col min="13" max="13" width="7.140625" bestFit="1" customWidth="1"/>
    <col min="14" max="14" width="14.85546875" bestFit="1" customWidth="1"/>
  </cols>
  <sheetData>
    <row r="1" spans="1:14" x14ac:dyDescent="0.25">
      <c r="A1" s="45" t="s">
        <v>136</v>
      </c>
      <c r="B1" t="s">
        <v>45</v>
      </c>
      <c r="C1" t="s">
        <v>2</v>
      </c>
      <c r="D1" t="s">
        <v>1</v>
      </c>
      <c r="E1" t="s">
        <v>0</v>
      </c>
      <c r="F1" t="s">
        <v>93</v>
      </c>
      <c r="G1" t="s">
        <v>94</v>
      </c>
      <c r="H1" t="s">
        <v>130</v>
      </c>
      <c r="I1" t="s">
        <v>48</v>
      </c>
      <c r="K1" t="s">
        <v>91</v>
      </c>
      <c r="L1" s="6" t="s">
        <v>67</v>
      </c>
      <c r="M1" s="7" t="s">
        <v>130</v>
      </c>
      <c r="N1" s="8" t="s">
        <v>48</v>
      </c>
    </row>
    <row r="2" spans="1:14" x14ac:dyDescent="0.25">
      <c r="B2" t="str">
        <f>TRIM(presentismo!B2)</f>
        <v>Racedo, Cristian</v>
      </c>
      <c r="C2">
        <v>1</v>
      </c>
      <c r="D2" t="str">
        <f>RIGHT(tabla_datos[[#This Row],[Empleado]],tabla_datos[[#This Row],[largo]]-(tabla_datos[[#This Row],[posicion]] + 1))</f>
        <v>Cristian</v>
      </c>
      <c r="E2" t="str">
        <f>LEFT(tabla_datos[[#This Row],[Empleado]],tabla_datos[[#This Row],[posicion]]-1)</f>
        <v>Racedo</v>
      </c>
      <c r="F2">
        <f>FIND(char,tabla_datos[[#This Row],[Empleado]])</f>
        <v>7</v>
      </c>
      <c r="G2">
        <f>LEN(tabla_datos[[#This Row],[Empleado]])</f>
        <v>16</v>
      </c>
      <c r="H2" s="51">
        <f>COUNTIF(tabla_ventas[Empleado],tabla_datos[[#This Row],[Codigo]])</f>
        <v>5</v>
      </c>
      <c r="I2" s="50">
        <f>SUMIF(tabla_ventas[Empleado],tabla_datos[[#This Row],[Codigo]],tabla_ventas[Total])</f>
        <v>1339500</v>
      </c>
      <c r="K2" t="s">
        <v>92</v>
      </c>
      <c r="L2" s="9" t="s">
        <v>171</v>
      </c>
      <c r="M2" s="10">
        <f>COUNT(tabla_datos[Ventas])</f>
        <v>8</v>
      </c>
      <c r="N2" s="32">
        <f>COUNT(tabla_datos[Total])</f>
        <v>8</v>
      </c>
    </row>
    <row r="3" spans="1:14" x14ac:dyDescent="0.25">
      <c r="B3" t="str">
        <f>TRIM(presentismo!B3)</f>
        <v>Racedo, Abel</v>
      </c>
      <c r="C3">
        <v>2</v>
      </c>
      <c r="D3" t="str">
        <f>RIGHT(tabla_datos[[#This Row],[Empleado]],tabla_datos[[#This Row],[largo]]-(tabla_datos[[#This Row],[posicion]] + 1))</f>
        <v>Abel</v>
      </c>
      <c r="E3" t="str">
        <f>LEFT(tabla_datos[[#This Row],[Empleado]],tabla_datos[[#This Row],[posicion]]-1)</f>
        <v>Racedo</v>
      </c>
      <c r="F3">
        <f>FIND(char,tabla_datos[[#This Row],[Empleado]])</f>
        <v>7</v>
      </c>
      <c r="G3">
        <f>LEN(tabla_datos[[#This Row],[Empleado]])</f>
        <v>12</v>
      </c>
      <c r="H3" s="51">
        <f>COUNTIF(tabla_ventas[Empleado],tabla_datos[[#This Row],[Codigo]])</f>
        <v>3</v>
      </c>
      <c r="I3" s="50">
        <f>SUMIF(tabla_ventas[Empleado],tabla_datos[[#This Row],[Codigo]],tabla_ventas[Total])</f>
        <v>678749.98</v>
      </c>
      <c r="L3" s="13" t="s">
        <v>168</v>
      </c>
      <c r="M3" s="14">
        <f>SUM(tabla_datos[Ventas])</f>
        <v>18</v>
      </c>
      <c r="N3" s="55">
        <f>SUM(tabla_datos[Total])</f>
        <v>3704749.94</v>
      </c>
    </row>
    <row r="4" spans="1:14" x14ac:dyDescent="0.25">
      <c r="B4" t="str">
        <f>TRIM(presentismo!B4)</f>
        <v>Maldonado, Alejandra</v>
      </c>
      <c r="C4">
        <v>3</v>
      </c>
      <c r="D4" t="str">
        <f>RIGHT(tabla_datos[[#This Row],[Empleado]],tabla_datos[[#This Row],[largo]]-(tabla_datos[[#This Row],[posicion]] + 1))</f>
        <v>Alejandra</v>
      </c>
      <c r="E4" t="str">
        <f>LEFT(tabla_datos[[#This Row],[Empleado]],tabla_datos[[#This Row],[posicion]]-1)</f>
        <v>Maldonado</v>
      </c>
      <c r="F4">
        <f>FIND(char,tabla_datos[[#This Row],[Empleado]])</f>
        <v>10</v>
      </c>
      <c r="G4">
        <f>LEN(tabla_datos[[#This Row],[Empleado]])</f>
        <v>20</v>
      </c>
      <c r="H4" s="51">
        <f>COUNTIF(tabla_ventas[Empleado],tabla_datos[[#This Row],[Codigo]])</f>
        <v>1</v>
      </c>
      <c r="I4" s="50">
        <f>SUMIF(tabla_ventas[Empleado],tabla_datos[[#This Row],[Codigo]],tabla_ventas[Total])</f>
        <v>168000</v>
      </c>
      <c r="L4" s="9" t="s">
        <v>170</v>
      </c>
      <c r="M4" s="10">
        <f>MAX(tabla_datos[Ventas])</f>
        <v>5</v>
      </c>
      <c r="N4" s="12">
        <f>MAX(tabla_datos[Total])</f>
        <v>1339500</v>
      </c>
    </row>
    <row r="5" spans="1:14" x14ac:dyDescent="0.25">
      <c r="B5" t="str">
        <f>TRIM(presentismo!B5)</f>
        <v>Juarez, Alberto</v>
      </c>
      <c r="C5">
        <v>4</v>
      </c>
      <c r="D5" t="str">
        <f>RIGHT(tabla_datos[[#This Row],[Empleado]],tabla_datos[[#This Row],[largo]]-(tabla_datos[[#This Row],[posicion]] + 1))</f>
        <v>Alberto</v>
      </c>
      <c r="E5" t="str">
        <f>LEFT(tabla_datos[[#This Row],[Empleado]],tabla_datos[[#This Row],[posicion]]-1)</f>
        <v>Juarez</v>
      </c>
      <c r="F5">
        <f>FIND(char,tabla_datos[[#This Row],[Empleado]])</f>
        <v>7</v>
      </c>
      <c r="G5">
        <f>LEN(tabla_datos[[#This Row],[Empleado]])</f>
        <v>15</v>
      </c>
      <c r="H5" s="51">
        <f>COUNTIF(tabla_ventas[Empleado],tabla_datos[[#This Row],[Codigo]])</f>
        <v>2</v>
      </c>
      <c r="I5" s="50">
        <f>SUMIF(tabla_ventas[Empleado],tabla_datos[[#This Row],[Codigo]],tabla_ventas[Total])</f>
        <v>779999.96</v>
      </c>
      <c r="L5" s="13" t="s">
        <v>169</v>
      </c>
      <c r="M5" s="14">
        <f>MIN(tabla_datos[Ventas])</f>
        <v>1</v>
      </c>
      <c r="N5" s="16">
        <f>MIN(tabla_datos[Total])</f>
        <v>35500</v>
      </c>
    </row>
    <row r="6" spans="1:14" x14ac:dyDescent="0.25">
      <c r="B6" t="str">
        <f>TRIM(presentismo!B6)</f>
        <v>Martinez, Mariana</v>
      </c>
      <c r="C6">
        <v>5</v>
      </c>
      <c r="D6" t="str">
        <f>RIGHT(tabla_datos[[#This Row],[Empleado]],tabla_datos[[#This Row],[largo]]-(tabla_datos[[#This Row],[posicion]] + 1))</f>
        <v>Mariana</v>
      </c>
      <c r="E6" t="str">
        <f>LEFT(tabla_datos[[#This Row],[Empleado]],tabla_datos[[#This Row],[posicion]]-1)</f>
        <v>Martinez</v>
      </c>
      <c r="F6">
        <f>FIND(char,tabla_datos[[#This Row],[Empleado]])</f>
        <v>9</v>
      </c>
      <c r="G6">
        <f>LEN(tabla_datos[[#This Row],[Empleado]])</f>
        <v>17</v>
      </c>
      <c r="H6" s="51">
        <f>COUNTIF(tabla_ventas[Empleado],tabla_datos[[#This Row],[Codigo]])</f>
        <v>1</v>
      </c>
      <c r="I6" s="50">
        <f>SUMIF(tabla_ventas[Empleado],tabla_datos[[#This Row],[Codigo]],tabla_ventas[Total])</f>
        <v>35500</v>
      </c>
      <c r="L6" s="9" t="s">
        <v>166</v>
      </c>
      <c r="M6" s="56">
        <f>AVERAGE(tabla_datos[Ventas])</f>
        <v>2.25</v>
      </c>
      <c r="N6" s="12">
        <f>AVERAGE(tabla_datos[Total])</f>
        <v>463093.74249999999</v>
      </c>
    </row>
    <row r="7" spans="1:14" x14ac:dyDescent="0.25">
      <c r="B7" t="str">
        <f>TRIM(presentismo!B7)</f>
        <v>Gomez, Graciela</v>
      </c>
      <c r="C7">
        <v>6</v>
      </c>
      <c r="D7" t="str">
        <f>RIGHT(tabla_datos[[#This Row],[Empleado]],tabla_datos[[#This Row],[largo]]-(tabla_datos[[#This Row],[posicion]] + 1))</f>
        <v>Graciela</v>
      </c>
      <c r="E7" t="str">
        <f>LEFT(tabla_datos[[#This Row],[Empleado]],tabla_datos[[#This Row],[posicion]]-1)</f>
        <v>Gomez</v>
      </c>
      <c r="F7">
        <f>FIND(char,tabla_datos[[#This Row],[Empleado]])</f>
        <v>6</v>
      </c>
      <c r="G7">
        <f>LEN(tabla_datos[[#This Row],[Empleado]])</f>
        <v>15</v>
      </c>
      <c r="H7" s="51">
        <f>COUNTIF(tabla_ventas[Empleado],tabla_datos[[#This Row],[Codigo]])</f>
        <v>3</v>
      </c>
      <c r="I7" s="50">
        <f>SUMIF(tabla_ventas[Empleado],tabla_datos[[#This Row],[Codigo]],tabla_ventas[Total])</f>
        <v>344500</v>
      </c>
      <c r="L7" s="19" t="s">
        <v>167</v>
      </c>
      <c r="M7" s="20">
        <f>MEDIAN(tabla_datos[Ventas])</f>
        <v>2</v>
      </c>
      <c r="N7" s="57">
        <f>MEDIAN(tabla_datos[Total])</f>
        <v>295500</v>
      </c>
    </row>
    <row r="8" spans="1:14" x14ac:dyDescent="0.25">
      <c r="B8" t="str">
        <f>TRIM(presentismo!B8)</f>
        <v>Garcia, Demetrio</v>
      </c>
      <c r="C8">
        <v>7</v>
      </c>
      <c r="D8" t="str">
        <f>RIGHT(tabla_datos[[#This Row],[Empleado]],tabla_datos[[#This Row],[largo]]-(tabla_datos[[#This Row],[posicion]] + 1))</f>
        <v>Demetrio</v>
      </c>
      <c r="E8" t="str">
        <f>LEFT(tabla_datos[[#This Row],[Empleado]],tabla_datos[[#This Row],[posicion]]-1)</f>
        <v>Garcia</v>
      </c>
      <c r="F8">
        <f>FIND(char,tabla_datos[[#This Row],[Empleado]])</f>
        <v>7</v>
      </c>
      <c r="G8">
        <f>LEN(tabla_datos[[#This Row],[Empleado]])</f>
        <v>16</v>
      </c>
      <c r="H8" s="51">
        <f>COUNTIF(tabla_ventas[Empleado],tabla_datos[[#This Row],[Codigo]])</f>
        <v>1</v>
      </c>
      <c r="I8" s="50">
        <f>SUMIF(tabla_ventas[Empleado],tabla_datos[[#This Row],[Codigo]],tabla_ventas[Total])</f>
        <v>112000</v>
      </c>
    </row>
    <row r="9" spans="1:14" x14ac:dyDescent="0.25">
      <c r="B9" t="str">
        <f>TRIM(presentismo!B9)</f>
        <v>Cabello, Camila</v>
      </c>
      <c r="C9">
        <v>8</v>
      </c>
      <c r="D9" t="str">
        <f>RIGHT(tabla_datos[[#This Row],[Empleado]],tabla_datos[[#This Row],[largo]]-(tabla_datos[[#This Row],[posicion]] + 1))</f>
        <v>Camila</v>
      </c>
      <c r="E9" t="str">
        <f>LEFT(tabla_datos[[#This Row],[Empleado]],tabla_datos[[#This Row],[posicion]]-1)</f>
        <v>Cabello</v>
      </c>
      <c r="F9">
        <f>FIND(char,tabla_datos[[#This Row],[Empleado]])</f>
        <v>8</v>
      </c>
      <c r="G9">
        <f>LEN(tabla_datos[[#This Row],[Empleado]])</f>
        <v>15</v>
      </c>
      <c r="H9" s="51">
        <f>COUNTIF(tabla_ventas[Empleado],tabla_datos[[#This Row],[Codigo]])</f>
        <v>2</v>
      </c>
      <c r="I9" s="50">
        <f>SUMIF(tabla_ventas[Empleado],tabla_datos[[#This Row],[Codigo]],tabla_ventas[Total])</f>
        <v>246500</v>
      </c>
    </row>
  </sheetData>
  <phoneticPr fontId="4" type="noConversion"/>
  <hyperlinks>
    <hyperlink ref="A1" location="menu!A1" display="atrás" xr:uid="{52F5A465-28D2-48CE-B5A6-F404D2F6AE0E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Normal="10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RowHeight="15" x14ac:dyDescent="0.25"/>
  <cols>
    <col min="1" max="1" width="3.7109375" style="43" customWidth="1"/>
    <col min="2" max="2" width="20.7109375" bestFit="1" customWidth="1"/>
    <col min="3" max="7" width="3.7109375" bestFit="1" customWidth="1"/>
    <col min="8" max="8" width="3.7109375" style="17" bestFit="1" customWidth="1"/>
    <col min="9" max="14" width="3.7109375" bestFit="1" customWidth="1"/>
    <col min="15" max="15" width="3.7109375" style="17" bestFit="1" customWidth="1"/>
    <col min="16" max="21" width="3.7109375" bestFit="1" customWidth="1"/>
    <col min="22" max="22" width="3.7109375" style="17" bestFit="1" customWidth="1"/>
    <col min="23" max="28" width="3.7109375" bestFit="1" customWidth="1"/>
    <col min="29" max="29" width="3.7109375" style="17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6" t="s">
        <v>136</v>
      </c>
      <c r="B1" s="40" t="s">
        <v>69</v>
      </c>
      <c r="C1" s="33" t="s">
        <v>96</v>
      </c>
      <c r="D1" s="33" t="s">
        <v>97</v>
      </c>
      <c r="E1" s="33" t="s">
        <v>98</v>
      </c>
      <c r="F1" s="33" t="s">
        <v>99</v>
      </c>
      <c r="G1" s="33" t="s">
        <v>100</v>
      </c>
      <c r="H1" s="34" t="s">
        <v>101</v>
      </c>
      <c r="I1" s="33" t="s">
        <v>102</v>
      </c>
      <c r="J1" s="33" t="s">
        <v>103</v>
      </c>
      <c r="K1" s="33" t="s">
        <v>104</v>
      </c>
      <c r="L1" s="33" t="s">
        <v>105</v>
      </c>
      <c r="M1" s="33" t="s">
        <v>106</v>
      </c>
      <c r="N1" s="33" t="s">
        <v>107</v>
      </c>
      <c r="O1" s="34" t="s">
        <v>108</v>
      </c>
      <c r="P1" s="33" t="s">
        <v>109</v>
      </c>
      <c r="Q1" s="33" t="s">
        <v>110</v>
      </c>
      <c r="R1" s="33" t="s">
        <v>111</v>
      </c>
      <c r="S1" s="33" t="s">
        <v>112</v>
      </c>
      <c r="T1" s="33" t="s">
        <v>113</v>
      </c>
      <c r="U1" s="33" t="s">
        <v>114</v>
      </c>
      <c r="V1" s="34" t="s">
        <v>115</v>
      </c>
      <c r="W1" s="33" t="s">
        <v>116</v>
      </c>
      <c r="X1" s="33" t="s">
        <v>117</v>
      </c>
      <c r="Y1" s="33" t="s">
        <v>118</v>
      </c>
      <c r="Z1" s="33" t="s">
        <v>119</v>
      </c>
      <c r="AA1" s="33" t="s">
        <v>120</v>
      </c>
      <c r="AB1" s="33" t="s">
        <v>121</v>
      </c>
      <c r="AC1" s="34" t="s">
        <v>122</v>
      </c>
      <c r="AD1" s="33" t="s">
        <v>123</v>
      </c>
      <c r="AE1" s="33" t="s">
        <v>124</v>
      </c>
      <c r="AF1" s="33" t="s">
        <v>125</v>
      </c>
      <c r="AG1" s="7" t="s">
        <v>71</v>
      </c>
      <c r="AH1" s="8" t="s">
        <v>72</v>
      </c>
      <c r="AJ1" s="6" t="s">
        <v>67</v>
      </c>
      <c r="AK1" s="7" t="s">
        <v>74</v>
      </c>
      <c r="AL1" s="8" t="s">
        <v>70</v>
      </c>
    </row>
    <row r="2" spans="1:38" x14ac:dyDescent="0.25">
      <c r="B2" s="9" t="str">
        <f>_xlfn.CONCAT(empleados!D2,", ",empleados!C2)</f>
        <v>Racedo, Cristian</v>
      </c>
      <c r="C2" s="35" t="s">
        <v>70</v>
      </c>
      <c r="D2" s="10" t="s">
        <v>70</v>
      </c>
      <c r="E2" s="10" t="s">
        <v>70</v>
      </c>
      <c r="F2" s="10"/>
      <c r="G2" s="10" t="s">
        <v>70</v>
      </c>
      <c r="H2" s="36"/>
      <c r="I2" s="10" t="s">
        <v>70</v>
      </c>
      <c r="J2" s="10"/>
      <c r="K2" s="10" t="s">
        <v>70</v>
      </c>
      <c r="L2" s="10"/>
      <c r="M2" s="10" t="s">
        <v>70</v>
      </c>
      <c r="N2" s="10" t="s">
        <v>70</v>
      </c>
      <c r="O2" s="36"/>
      <c r="P2" s="10" t="s">
        <v>70</v>
      </c>
      <c r="Q2" s="10" t="s">
        <v>70</v>
      </c>
      <c r="R2" s="10" t="s">
        <v>70</v>
      </c>
      <c r="S2" s="10" t="s">
        <v>70</v>
      </c>
      <c r="T2" s="10" t="s">
        <v>70</v>
      </c>
      <c r="U2" s="10"/>
      <c r="V2" s="36"/>
      <c r="W2" s="10" t="s">
        <v>70</v>
      </c>
      <c r="X2" s="10" t="s">
        <v>70</v>
      </c>
      <c r="Y2" s="10"/>
      <c r="Z2" s="10" t="s">
        <v>70</v>
      </c>
      <c r="AA2" s="10"/>
      <c r="AB2" s="10" t="s">
        <v>70</v>
      </c>
      <c r="AC2" s="36"/>
      <c r="AD2" s="10" t="s">
        <v>70</v>
      </c>
      <c r="AE2" s="10" t="s">
        <v>70</v>
      </c>
      <c r="AF2" s="10" t="s">
        <v>70</v>
      </c>
      <c r="AG2" s="10">
        <f>COUNTBLANK($B2:$AF2)</f>
        <v>10</v>
      </c>
      <c r="AH2" s="32">
        <f>COUNTA($C2:$AF2)</f>
        <v>20</v>
      </c>
      <c r="AJ2" s="9" t="s">
        <v>73</v>
      </c>
      <c r="AK2" s="10">
        <f>SUM(AG$2:AG$9)</f>
        <v>93</v>
      </c>
      <c r="AL2" s="32">
        <f>SUM(AH$2:AH$9)</f>
        <v>147</v>
      </c>
    </row>
    <row r="3" spans="1:38" x14ac:dyDescent="0.25">
      <c r="B3" s="13" t="str">
        <f>_xlfn.CONCAT(empleados!D3,", ",empleados!C3)</f>
        <v>Racedo, Abel</v>
      </c>
      <c r="C3" s="37" t="s">
        <v>70</v>
      </c>
      <c r="D3" s="14" t="s">
        <v>70</v>
      </c>
      <c r="E3" s="14" t="s">
        <v>70</v>
      </c>
      <c r="F3" s="14" t="s">
        <v>70</v>
      </c>
      <c r="G3" s="14"/>
      <c r="H3" s="36"/>
      <c r="I3" s="14" t="s">
        <v>70</v>
      </c>
      <c r="J3" s="14" t="s">
        <v>70</v>
      </c>
      <c r="K3" s="14" t="s">
        <v>70</v>
      </c>
      <c r="L3" s="14" t="s">
        <v>70</v>
      </c>
      <c r="M3" s="14" t="s">
        <v>70</v>
      </c>
      <c r="N3" s="14"/>
      <c r="O3" s="36"/>
      <c r="P3" s="14" t="s">
        <v>70</v>
      </c>
      <c r="Q3" s="14" t="s">
        <v>70</v>
      </c>
      <c r="R3" s="14"/>
      <c r="S3" s="14" t="s">
        <v>70</v>
      </c>
      <c r="T3" s="14" t="s">
        <v>70</v>
      </c>
      <c r="U3" s="14" t="s">
        <v>70</v>
      </c>
      <c r="V3" s="36"/>
      <c r="W3" s="14" t="s">
        <v>70</v>
      </c>
      <c r="X3" s="14" t="s">
        <v>70</v>
      </c>
      <c r="Y3" s="14"/>
      <c r="Z3" s="14" t="s">
        <v>70</v>
      </c>
      <c r="AA3" s="14" t="s">
        <v>70</v>
      </c>
      <c r="AB3" s="14" t="s">
        <v>70</v>
      </c>
      <c r="AC3" s="36"/>
      <c r="AD3" s="14" t="s">
        <v>70</v>
      </c>
      <c r="AE3" s="14" t="s">
        <v>70</v>
      </c>
      <c r="AF3" s="14" t="s">
        <v>70</v>
      </c>
      <c r="AG3" s="14">
        <f t="shared" ref="AG3:AG8" si="0">COUNTBLANK($B3:$AF3)</f>
        <v>8</v>
      </c>
      <c r="AH3" s="27">
        <f t="shared" ref="AH3:AH9" si="1">COUNTA($C3:$AF3)</f>
        <v>22</v>
      </c>
      <c r="AJ3" s="13" t="s">
        <v>75</v>
      </c>
      <c r="AK3" s="14">
        <f>MIN(AG$2:AG$9)</f>
        <v>8</v>
      </c>
      <c r="AL3" s="27">
        <f>MIN(AH$2:AH$9)</f>
        <v>17</v>
      </c>
    </row>
    <row r="4" spans="1:38" x14ac:dyDescent="0.25">
      <c r="B4" s="9" t="str">
        <f>_xlfn.CONCAT(empleados!D4,", ",empleados!C4)</f>
        <v>Maldonado, Alejandra</v>
      </c>
      <c r="C4" s="35"/>
      <c r="D4" s="10" t="s">
        <v>70</v>
      </c>
      <c r="E4" s="10" t="s">
        <v>70</v>
      </c>
      <c r="F4" s="10" t="s">
        <v>70</v>
      </c>
      <c r="G4" s="10"/>
      <c r="H4" s="36"/>
      <c r="I4" s="10" t="s">
        <v>70</v>
      </c>
      <c r="J4" s="10" t="s">
        <v>70</v>
      </c>
      <c r="K4" s="10"/>
      <c r="L4" s="10" t="s">
        <v>70</v>
      </c>
      <c r="M4" s="10" t="s">
        <v>70</v>
      </c>
      <c r="N4" s="10" t="s">
        <v>70</v>
      </c>
      <c r="O4" s="36"/>
      <c r="P4" s="10" t="s">
        <v>70</v>
      </c>
      <c r="Q4" s="10"/>
      <c r="R4" s="10" t="s">
        <v>70</v>
      </c>
      <c r="S4" s="10" t="s">
        <v>70</v>
      </c>
      <c r="T4" s="10" t="s">
        <v>70</v>
      </c>
      <c r="U4" s="10"/>
      <c r="V4" s="36"/>
      <c r="W4" s="10" t="s">
        <v>70</v>
      </c>
      <c r="X4" s="10" t="s">
        <v>70</v>
      </c>
      <c r="Y4" s="10" t="s">
        <v>70</v>
      </c>
      <c r="Z4" s="10" t="s">
        <v>70</v>
      </c>
      <c r="AA4" s="10"/>
      <c r="AB4" s="10" t="s">
        <v>70</v>
      </c>
      <c r="AC4" s="36"/>
      <c r="AD4" s="10" t="s">
        <v>70</v>
      </c>
      <c r="AE4" s="10" t="s">
        <v>70</v>
      </c>
      <c r="AF4" s="10"/>
      <c r="AG4" s="10">
        <f t="shared" si="0"/>
        <v>11</v>
      </c>
      <c r="AH4" s="32">
        <f t="shared" si="1"/>
        <v>19</v>
      </c>
      <c r="AJ4" s="9" t="s">
        <v>76</v>
      </c>
      <c r="AK4" s="10">
        <f>MAX(AG2:AG9)</f>
        <v>13</v>
      </c>
      <c r="AL4" s="32">
        <f>MAX(AH2:AH9)</f>
        <v>22</v>
      </c>
    </row>
    <row r="5" spans="1:38" x14ac:dyDescent="0.25">
      <c r="B5" s="13" t="str">
        <f>_xlfn.CONCAT(empleados!D5,", ",empleados!C5)</f>
        <v>Juarez, Alberto</v>
      </c>
      <c r="C5" s="37" t="s">
        <v>70</v>
      </c>
      <c r="D5" s="14" t="s">
        <v>70</v>
      </c>
      <c r="E5" s="14" t="s">
        <v>70</v>
      </c>
      <c r="F5" s="14"/>
      <c r="G5" s="14" t="s">
        <v>70</v>
      </c>
      <c r="H5" s="36"/>
      <c r="I5" s="14" t="s">
        <v>70</v>
      </c>
      <c r="J5" s="14"/>
      <c r="K5" s="14" t="s">
        <v>70</v>
      </c>
      <c r="L5" s="14"/>
      <c r="M5" s="14" t="s">
        <v>70</v>
      </c>
      <c r="N5" s="14" t="s">
        <v>70</v>
      </c>
      <c r="O5" s="36"/>
      <c r="P5" s="14" t="s">
        <v>70</v>
      </c>
      <c r="Q5" s="14"/>
      <c r="R5" s="14" t="s">
        <v>70</v>
      </c>
      <c r="S5" s="14" t="s">
        <v>70</v>
      </c>
      <c r="T5" s="14"/>
      <c r="U5" s="14" t="s">
        <v>70</v>
      </c>
      <c r="V5" s="36"/>
      <c r="W5" s="14" t="s">
        <v>70</v>
      </c>
      <c r="X5" s="14"/>
      <c r="Y5" s="14" t="s">
        <v>70</v>
      </c>
      <c r="Z5" s="14"/>
      <c r="AA5" s="14" t="s">
        <v>70</v>
      </c>
      <c r="AB5" s="14" t="s">
        <v>70</v>
      </c>
      <c r="AC5" s="36"/>
      <c r="AD5" s="14" t="s">
        <v>70</v>
      </c>
      <c r="AE5" s="14"/>
      <c r="AF5" s="14" t="s">
        <v>70</v>
      </c>
      <c r="AG5" s="14">
        <f t="shared" si="0"/>
        <v>12</v>
      </c>
      <c r="AH5" s="27">
        <f t="shared" si="1"/>
        <v>18</v>
      </c>
      <c r="AJ5" s="13" t="s">
        <v>77</v>
      </c>
      <c r="AK5" s="14">
        <f>AVERAGE(AG$2:AG$9)</f>
        <v>11.625</v>
      </c>
      <c r="AL5" s="27">
        <f>AVERAGE(AH$2:AH$9)</f>
        <v>18.375</v>
      </c>
    </row>
    <row r="6" spans="1:38" x14ac:dyDescent="0.25">
      <c r="B6" s="9" t="str">
        <f>_xlfn.CONCAT(empleados!D6,", ",empleados!C6)</f>
        <v>Martinez, Mariana</v>
      </c>
      <c r="C6" s="35"/>
      <c r="D6" s="10" t="s">
        <v>70</v>
      </c>
      <c r="E6" s="10" t="s">
        <v>70</v>
      </c>
      <c r="F6" s="10" t="s">
        <v>70</v>
      </c>
      <c r="G6" s="10"/>
      <c r="H6" s="36"/>
      <c r="I6" s="10"/>
      <c r="J6" s="10" t="s">
        <v>70</v>
      </c>
      <c r="K6" s="10" t="s">
        <v>70</v>
      </c>
      <c r="L6" s="10"/>
      <c r="M6" s="10" t="s">
        <v>70</v>
      </c>
      <c r="N6" s="10"/>
      <c r="O6" s="36"/>
      <c r="P6" s="10"/>
      <c r="Q6" s="10" t="s">
        <v>70</v>
      </c>
      <c r="R6" s="10" t="s">
        <v>70</v>
      </c>
      <c r="S6" s="10"/>
      <c r="T6" s="10" t="s">
        <v>70</v>
      </c>
      <c r="U6" s="10" t="s">
        <v>70</v>
      </c>
      <c r="V6" s="36"/>
      <c r="W6" s="10" t="s">
        <v>70</v>
      </c>
      <c r="X6" s="10" t="s">
        <v>70</v>
      </c>
      <c r="Y6" s="10" t="s">
        <v>70</v>
      </c>
      <c r="Z6" s="10" t="s">
        <v>70</v>
      </c>
      <c r="AA6" s="10"/>
      <c r="AB6" s="10"/>
      <c r="AC6" s="36"/>
      <c r="AD6" s="10" t="s">
        <v>70</v>
      </c>
      <c r="AE6" s="10" t="s">
        <v>70</v>
      </c>
      <c r="AF6" s="10" t="s">
        <v>70</v>
      </c>
      <c r="AG6" s="10">
        <f t="shared" si="0"/>
        <v>13</v>
      </c>
      <c r="AH6" s="32">
        <f t="shared" si="1"/>
        <v>17</v>
      </c>
      <c r="AJ6" s="9" t="s">
        <v>78</v>
      </c>
      <c r="AK6" s="10">
        <f>MEDIAN(AG$2:AG$9)</f>
        <v>12.5</v>
      </c>
      <c r="AL6" s="32">
        <f>MEDIAN(AH$2:AH$9)</f>
        <v>17.5</v>
      </c>
    </row>
    <row r="7" spans="1:38" x14ac:dyDescent="0.25">
      <c r="B7" s="13" t="str">
        <f>_xlfn.CONCAT(empleados!D7,", ",empleados!C7)</f>
        <v>Gomez, Graciela</v>
      </c>
      <c r="C7" s="37" t="s">
        <v>70</v>
      </c>
      <c r="D7" s="14" t="s">
        <v>70</v>
      </c>
      <c r="E7" s="14" t="s">
        <v>70</v>
      </c>
      <c r="F7" s="14" t="s">
        <v>70</v>
      </c>
      <c r="G7" s="14" t="s">
        <v>70</v>
      </c>
      <c r="H7" s="36"/>
      <c r="I7" s="14" t="s">
        <v>70</v>
      </c>
      <c r="J7" s="14" t="s">
        <v>70</v>
      </c>
      <c r="K7" s="14"/>
      <c r="L7" s="14" t="s">
        <v>70</v>
      </c>
      <c r="M7" s="14" t="s">
        <v>70</v>
      </c>
      <c r="N7" s="14"/>
      <c r="O7" s="36"/>
      <c r="P7" s="14" t="s">
        <v>70</v>
      </c>
      <c r="Q7" s="14"/>
      <c r="R7" s="14"/>
      <c r="S7" s="14" t="s">
        <v>70</v>
      </c>
      <c r="T7" s="14" t="s">
        <v>70</v>
      </c>
      <c r="U7" s="14"/>
      <c r="V7" s="36"/>
      <c r="W7" s="14"/>
      <c r="X7" s="14" t="s">
        <v>70</v>
      </c>
      <c r="Y7" s="14"/>
      <c r="Z7" s="14" t="s">
        <v>70</v>
      </c>
      <c r="AA7" s="14" t="s">
        <v>70</v>
      </c>
      <c r="AB7" s="14" t="s">
        <v>70</v>
      </c>
      <c r="AC7" s="36"/>
      <c r="AD7" s="14" t="s">
        <v>70</v>
      </c>
      <c r="AE7" s="14"/>
      <c r="AF7" s="14"/>
      <c r="AG7" s="14">
        <f t="shared" si="0"/>
        <v>13</v>
      </c>
      <c r="AH7" s="27">
        <f t="shared" si="1"/>
        <v>17</v>
      </c>
      <c r="AJ7" s="19" t="s">
        <v>79</v>
      </c>
      <c r="AK7" s="20">
        <f>MODE(AG$2:AG$9)</f>
        <v>13</v>
      </c>
      <c r="AL7" s="21">
        <f>MODE(AH$2:AH$9)</f>
        <v>17</v>
      </c>
    </row>
    <row r="8" spans="1:38" x14ac:dyDescent="0.25">
      <c r="B8" s="9" t="str">
        <f>_xlfn.CONCAT(empleados!D8,", ",empleados!C8)</f>
        <v>Garcia, Demetrio</v>
      </c>
      <c r="C8" s="35"/>
      <c r="D8" s="10"/>
      <c r="E8" s="10" t="s">
        <v>70</v>
      </c>
      <c r="F8" s="10" t="s">
        <v>70</v>
      </c>
      <c r="G8" s="10"/>
      <c r="H8" s="36"/>
      <c r="I8" s="10"/>
      <c r="J8" s="10" t="s">
        <v>70</v>
      </c>
      <c r="K8" s="10" t="s">
        <v>70</v>
      </c>
      <c r="L8" s="10" t="s">
        <v>70</v>
      </c>
      <c r="M8" s="10"/>
      <c r="N8" s="10" t="s">
        <v>70</v>
      </c>
      <c r="O8" s="36"/>
      <c r="P8" s="10" t="s">
        <v>70</v>
      </c>
      <c r="Q8" s="10" t="s">
        <v>70</v>
      </c>
      <c r="R8" s="10" t="s">
        <v>70</v>
      </c>
      <c r="S8" s="10"/>
      <c r="T8" s="10"/>
      <c r="U8" s="10" t="s">
        <v>70</v>
      </c>
      <c r="V8" s="36"/>
      <c r="W8" s="10" t="s">
        <v>70</v>
      </c>
      <c r="X8" s="10" t="s">
        <v>70</v>
      </c>
      <c r="Y8" s="10" t="s">
        <v>70</v>
      </c>
      <c r="Z8" s="10" t="s">
        <v>70</v>
      </c>
      <c r="AA8" s="10"/>
      <c r="AB8" s="10" t="s">
        <v>70</v>
      </c>
      <c r="AC8" s="36"/>
      <c r="AD8" s="10"/>
      <c r="AE8" s="10" t="s">
        <v>70</v>
      </c>
      <c r="AF8" s="10" t="s">
        <v>70</v>
      </c>
      <c r="AG8" s="10">
        <f t="shared" si="0"/>
        <v>13</v>
      </c>
      <c r="AH8" s="32">
        <f t="shared" si="1"/>
        <v>17</v>
      </c>
    </row>
    <row r="9" spans="1:38" x14ac:dyDescent="0.25">
      <c r="B9" s="19" t="str">
        <f>_xlfn.CONCAT(empleados!D9,", ",empleados!C9)</f>
        <v>Cabello, Camila</v>
      </c>
      <c r="C9" s="38" t="s">
        <v>70</v>
      </c>
      <c r="D9" s="20" t="s">
        <v>70</v>
      </c>
      <c r="E9" s="20"/>
      <c r="F9" s="20" t="s">
        <v>70</v>
      </c>
      <c r="G9" s="20" t="s">
        <v>70</v>
      </c>
      <c r="H9" s="39"/>
      <c r="I9" s="20" t="s">
        <v>70</v>
      </c>
      <c r="J9" s="20" t="s">
        <v>70</v>
      </c>
      <c r="K9" s="20"/>
      <c r="L9" s="20" t="s">
        <v>70</v>
      </c>
      <c r="M9" s="20" t="s">
        <v>70</v>
      </c>
      <c r="N9" s="20"/>
      <c r="O9" s="39"/>
      <c r="P9" s="20"/>
      <c r="Q9" s="20"/>
      <c r="R9" s="20" t="s">
        <v>70</v>
      </c>
      <c r="S9" s="20" t="s">
        <v>70</v>
      </c>
      <c r="T9" s="20" t="s">
        <v>70</v>
      </c>
      <c r="U9" s="20" t="s">
        <v>70</v>
      </c>
      <c r="V9" s="39"/>
      <c r="W9" s="20" t="s">
        <v>70</v>
      </c>
      <c r="X9" s="20"/>
      <c r="Y9" s="20" t="s">
        <v>70</v>
      </c>
      <c r="Z9" s="20"/>
      <c r="AA9" s="20" t="s">
        <v>70</v>
      </c>
      <c r="AB9" s="20"/>
      <c r="AC9" s="39"/>
      <c r="AD9" s="20" t="s">
        <v>70</v>
      </c>
      <c r="AE9" s="20" t="s">
        <v>70</v>
      </c>
      <c r="AF9" s="20"/>
      <c r="AG9" s="20">
        <f>COUNTBLANK($B9:$AF9)</f>
        <v>13</v>
      </c>
      <c r="AH9" s="21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Volver" xr:uid="{6C2EC084-3FEA-47B0-BB6A-501CCE8EF33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opLeftCell="H1" zoomScale="130" zoomScaleNormal="130" workbookViewId="0">
      <pane ySplit="1" topLeftCell="A2" activePane="bottomLeft" state="frozen"/>
      <selection pane="bottomLeft" activeCell="I11" sqref="I11"/>
    </sheetView>
  </sheetViews>
  <sheetFormatPr baseColWidth="10" defaultRowHeight="15" x14ac:dyDescent="0.25"/>
  <cols>
    <col min="1" max="1" width="11.85546875" customWidth="1"/>
    <col min="2" max="2" width="9.42578125" bestFit="1" customWidth="1"/>
    <col min="3" max="3" width="30.85546875" bestFit="1" customWidth="1"/>
    <col min="4" max="4" width="11.7109375" bestFit="1" customWidth="1"/>
    <col min="5" max="5" width="10.28515625" bestFit="1" customWidth="1"/>
    <col min="6" max="6" width="13.7109375" style="2" bestFit="1" customWidth="1"/>
    <col min="7" max="7" width="8" style="52" bestFit="1" customWidth="1"/>
    <col min="8" max="8" width="13.140625" style="58" bestFit="1" customWidth="1"/>
    <col min="9" max="9" width="13.7109375" style="2" bestFit="1" customWidth="1"/>
    <col min="10" max="10" width="9.140625" bestFit="1" customWidth="1"/>
    <col min="13" max="13" width="9.140625" bestFit="1" customWidth="1"/>
    <col min="14" max="14" width="15.42578125" bestFit="1" customWidth="1"/>
    <col min="15" max="15" width="8.28515625" bestFit="1" customWidth="1"/>
  </cols>
  <sheetData>
    <row r="1" spans="1:15" ht="17.25" customHeight="1" x14ac:dyDescent="0.25">
      <c r="A1" s="45" t="s">
        <v>136</v>
      </c>
      <c r="B1" t="s">
        <v>2</v>
      </c>
      <c r="C1" t="s">
        <v>38</v>
      </c>
      <c r="D1" t="s">
        <v>41</v>
      </c>
      <c r="E1" t="s">
        <v>139</v>
      </c>
      <c r="F1" s="3" t="s">
        <v>39</v>
      </c>
      <c r="G1" s="52" t="s">
        <v>40</v>
      </c>
      <c r="H1" s="58" t="s">
        <v>172</v>
      </c>
      <c r="I1" s="2" t="s">
        <v>173</v>
      </c>
      <c r="J1" t="s">
        <v>174</v>
      </c>
      <c r="L1" s="6" t="s">
        <v>67</v>
      </c>
      <c r="M1" s="7" t="s">
        <v>177</v>
      </c>
      <c r="N1" s="62" t="s">
        <v>176</v>
      </c>
      <c r="O1" s="65" t="s">
        <v>174</v>
      </c>
    </row>
    <row r="2" spans="1:15" x14ac:dyDescent="0.25">
      <c r="B2">
        <v>1</v>
      </c>
      <c r="C2" t="s">
        <v>149</v>
      </c>
      <c r="D2" t="s">
        <v>42</v>
      </c>
      <c r="E2" t="s">
        <v>140</v>
      </c>
      <c r="F2" s="2">
        <v>25000</v>
      </c>
      <c r="G2" s="52">
        <v>3000</v>
      </c>
      <c r="H2" s="58">
        <f>SUMIF(tabla_ventas[Producto],tabla_productos[[#This Row],[Codigo]],tabla_ventas[Cantidad])</f>
        <v>4</v>
      </c>
      <c r="I2" s="2">
        <f>SUMIF(tabla_ventas[Producto],tabla_productos[[#This Row],[Codigo]],tabla_ventas[Total])</f>
        <v>100000</v>
      </c>
      <c r="J2">
        <f>COUNTIF(tabla_ventas[Producto],tabla_productos[[#This Row],[Codigo]])</f>
        <v>2</v>
      </c>
      <c r="L2" s="68" t="s">
        <v>171</v>
      </c>
      <c r="M2" s="69">
        <f>COUNT(tabla_productos[Vendidos])</f>
        <v>15</v>
      </c>
      <c r="N2" s="69">
        <f>COUNT(H:H)</f>
        <v>15</v>
      </c>
      <c r="O2" s="70">
        <f>COUNT(I:I)</f>
        <v>15</v>
      </c>
    </row>
    <row r="3" spans="1:15" x14ac:dyDescent="0.25">
      <c r="B3">
        <v>2</v>
      </c>
      <c r="C3" t="s">
        <v>148</v>
      </c>
      <c r="D3" t="s">
        <v>42</v>
      </c>
      <c r="E3" t="s">
        <v>141</v>
      </c>
      <c r="F3" s="2">
        <v>56000</v>
      </c>
      <c r="G3" s="52">
        <v>5399</v>
      </c>
      <c r="H3" s="58">
        <f>SUMIF(tabla_ventas[Producto],tabla_productos[[#This Row],[Codigo]],tabla_ventas[Cantidad])</f>
        <v>17</v>
      </c>
      <c r="I3" s="2">
        <f>SUMIF(tabla_ventas[Producto],tabla_productos[[#This Row],[Codigo]],tabla_ventas[Total])</f>
        <v>952000</v>
      </c>
      <c r="J3">
        <f>COUNTIF(tabla_ventas[Producto],tabla_productos[[#This Row],[Codigo]])</f>
        <v>7</v>
      </c>
      <c r="L3" s="13" t="s">
        <v>168</v>
      </c>
      <c r="M3" s="60">
        <f>SUM(tabla_productos[Vendidos])</f>
        <v>49</v>
      </c>
      <c r="N3" s="64">
        <f>SUM(tabla_productos[Recaudado])</f>
        <v>3704749.94</v>
      </c>
      <c r="O3" s="67">
        <f>SUM(tabla_productos[ventas])</f>
        <v>18</v>
      </c>
    </row>
    <row r="4" spans="1:15" x14ac:dyDescent="0.25">
      <c r="B4">
        <v>3</v>
      </c>
      <c r="C4" t="s">
        <v>147</v>
      </c>
      <c r="D4" t="s">
        <v>43</v>
      </c>
      <c r="E4" t="s">
        <v>142</v>
      </c>
      <c r="F4" s="2">
        <v>124999.99</v>
      </c>
      <c r="G4" s="52">
        <v>2380</v>
      </c>
      <c r="H4" s="58">
        <f>SUMIF(tabla_ventas[Producto],tabla_productos[[#This Row],[Codigo]],tabla_ventas[Cantidad])</f>
        <v>6</v>
      </c>
      <c r="I4" s="2">
        <f>SUMIF(tabla_ventas[Producto],tabla_productos[[#This Row],[Codigo]],tabla_ventas[Total])</f>
        <v>749999.94000000006</v>
      </c>
      <c r="J4">
        <f>COUNTIF(tabla_ventas[Producto],tabla_productos[[#This Row],[Codigo]])</f>
        <v>2</v>
      </c>
      <c r="L4" s="9" t="s">
        <v>170</v>
      </c>
      <c r="M4" s="59">
        <f>MAX(tabla_productos[Vendidos])</f>
        <v>17</v>
      </c>
      <c r="N4" s="63">
        <f>MAX(tabla_productos[Recaudado])</f>
        <v>952000</v>
      </c>
      <c r="O4" s="66">
        <f>MAX(tabla_productos[ventas])</f>
        <v>7</v>
      </c>
    </row>
    <row r="5" spans="1:15" x14ac:dyDescent="0.25">
      <c r="B5">
        <v>4</v>
      </c>
      <c r="C5" t="s">
        <v>146</v>
      </c>
      <c r="D5" t="s">
        <v>44</v>
      </c>
      <c r="E5" t="s">
        <v>143</v>
      </c>
      <c r="F5" s="2">
        <v>35500</v>
      </c>
      <c r="G5" s="52">
        <v>4500</v>
      </c>
      <c r="H5" s="58">
        <f>SUMIF(tabla_ventas[Producto],tabla_productos[[#This Row],[Codigo]],tabla_ventas[Cantidad])</f>
        <v>4</v>
      </c>
      <c r="I5" s="2">
        <f>SUMIF(tabla_ventas[Producto],tabla_productos[[#This Row],[Codigo]],tabla_ventas[Total])</f>
        <v>142000</v>
      </c>
      <c r="J5">
        <f>COUNTIF(tabla_ventas[Producto],tabla_productos[[#This Row],[Codigo]])</f>
        <v>2</v>
      </c>
      <c r="L5" s="13" t="s">
        <v>169</v>
      </c>
      <c r="M5" s="60">
        <f>MIN(tabla_productos[Vendidos])</f>
        <v>0</v>
      </c>
      <c r="N5" s="64">
        <f>MIN(tabla_productos[Recaudado])</f>
        <v>0</v>
      </c>
      <c r="O5" s="67">
        <f>MIN(tabla_productos[ventas])</f>
        <v>0</v>
      </c>
    </row>
    <row r="6" spans="1:15" x14ac:dyDescent="0.25">
      <c r="B6">
        <v>5</v>
      </c>
      <c r="C6" t="s">
        <v>145</v>
      </c>
      <c r="D6" t="s">
        <v>43</v>
      </c>
      <c r="E6" t="s">
        <v>144</v>
      </c>
      <c r="F6" s="2">
        <v>85750</v>
      </c>
      <c r="G6" s="52">
        <v>13599</v>
      </c>
      <c r="H6" s="58">
        <f>SUMIF(tabla_ventas[Producto],tabla_productos[[#This Row],[Codigo]],tabla_ventas[Cantidad])</f>
        <v>7</v>
      </c>
      <c r="I6" s="2">
        <f>SUMIF(tabla_ventas[Producto],tabla_productos[[#This Row],[Codigo]],tabla_ventas[Total])</f>
        <v>600250</v>
      </c>
      <c r="J6">
        <f>COUNTIF(tabla_ventas[Producto],tabla_productos[[#This Row],[Codigo]])</f>
        <v>3</v>
      </c>
      <c r="L6" s="9" t="s">
        <v>166</v>
      </c>
      <c r="M6" s="59">
        <f>AVERAGE(tabla_productos[Vendidos])</f>
        <v>3.2666666666666666</v>
      </c>
      <c r="N6" s="63">
        <f>AVERAGE(tabla_productos[Recaudado])</f>
        <v>246983.32933333333</v>
      </c>
      <c r="O6" s="66">
        <f>AVERAGE(tabla_productos[ventas])</f>
        <v>1.2</v>
      </c>
    </row>
    <row r="7" spans="1:15" x14ac:dyDescent="0.25">
      <c r="B7">
        <v>6</v>
      </c>
      <c r="C7" t="s">
        <v>150</v>
      </c>
      <c r="D7" t="s">
        <v>43</v>
      </c>
      <c r="E7" t="s">
        <v>144</v>
      </c>
      <c r="F7" s="2">
        <v>8599.99</v>
      </c>
      <c r="G7" s="52">
        <v>18390</v>
      </c>
      <c r="H7" s="58">
        <f>SUMIF(tabla_ventas[Producto],tabla_productos[[#This Row],[Codigo]],tabla_ventas[Cantidad])</f>
        <v>6</v>
      </c>
      <c r="I7" s="2">
        <f>SUMIF(tabla_ventas[Producto],tabla_productos[[#This Row],[Codigo]],tabla_ventas[Total])</f>
        <v>213000</v>
      </c>
      <c r="J7">
        <f>COUNTIF(tabla_ventas[Producto],tabla_productos[[#This Row],[Codigo]])</f>
        <v>1</v>
      </c>
      <c r="L7" s="19" t="s">
        <v>167</v>
      </c>
      <c r="M7" s="61">
        <f>MEDIAN(tabla_productos[Vendidos])</f>
        <v>0</v>
      </c>
      <c r="N7" s="61">
        <f>MEDIAN(tabla_productos[Recaudado])</f>
        <v>0</v>
      </c>
      <c r="O7" s="61">
        <f>MEDIAN(tabla_productos[ventas])</f>
        <v>0</v>
      </c>
    </row>
    <row r="8" spans="1:15" x14ac:dyDescent="0.25">
      <c r="B8">
        <v>7</v>
      </c>
      <c r="C8" t="s">
        <v>165</v>
      </c>
      <c r="D8" t="s">
        <v>42</v>
      </c>
      <c r="E8" t="s">
        <v>142</v>
      </c>
      <c r="F8" s="2">
        <v>165800</v>
      </c>
      <c r="G8" s="52">
        <v>2890</v>
      </c>
      <c r="H8" s="58">
        <f>SUMIF(tabla_ventas[Producto],tabla_productos[[#This Row],[Codigo]],tabla_ventas[Cantidad])</f>
        <v>0</v>
      </c>
      <c r="I8" s="2">
        <f>SUMIF(tabla_ventas[Producto],tabla_productos[[#This Row],[Codigo]],tabla_ventas[Total])</f>
        <v>0</v>
      </c>
      <c r="J8">
        <f>COUNTIF(tabla_ventas[Producto],tabla_productos[[#This Row],[Codigo]])</f>
        <v>0</v>
      </c>
    </row>
    <row r="9" spans="1:15" x14ac:dyDescent="0.25">
      <c r="B9">
        <v>8</v>
      </c>
      <c r="C9" t="s">
        <v>151</v>
      </c>
      <c r="D9" t="s">
        <v>44</v>
      </c>
      <c r="E9" t="s">
        <v>143</v>
      </c>
      <c r="F9" s="2">
        <v>200530</v>
      </c>
      <c r="G9" s="52">
        <v>5000</v>
      </c>
      <c r="H9" s="58">
        <f>SUMIF(tabla_ventas[Producto],tabla_productos[[#This Row],[Codigo]],tabla_ventas[Cantidad])</f>
        <v>0</v>
      </c>
      <c r="I9" s="2">
        <f>SUMIF(tabla_ventas[Producto],tabla_productos[[#This Row],[Codigo]],tabla_ventas[Total])</f>
        <v>0</v>
      </c>
      <c r="J9">
        <f>COUNTIF(tabla_ventas[Producto],tabla_productos[[#This Row],[Codigo]])</f>
        <v>0</v>
      </c>
    </row>
    <row r="10" spans="1:15" x14ac:dyDescent="0.25">
      <c r="B10">
        <v>9</v>
      </c>
      <c r="C10" t="s">
        <v>152</v>
      </c>
      <c r="D10" t="s">
        <v>42</v>
      </c>
      <c r="E10" t="s">
        <v>141</v>
      </c>
      <c r="F10" s="2">
        <v>156000</v>
      </c>
      <c r="G10" s="52">
        <v>8500</v>
      </c>
      <c r="H10" s="58">
        <f>SUMIF(tabla_ventas[Producto],tabla_productos[[#This Row],[Codigo]],tabla_ventas[Cantidad])</f>
        <v>0</v>
      </c>
      <c r="I10" s="2">
        <f>SUMIF(tabla_ventas[Producto],tabla_productos[[#This Row],[Codigo]],tabla_ventas[Total])</f>
        <v>0</v>
      </c>
      <c r="J10">
        <f>COUNTIF(tabla_ventas[Producto],tabla_productos[[#This Row],[Codigo]])</f>
        <v>0</v>
      </c>
    </row>
    <row r="11" spans="1:15" x14ac:dyDescent="0.25">
      <c r="B11">
        <v>10</v>
      </c>
      <c r="C11" t="s">
        <v>154</v>
      </c>
      <c r="D11" t="s">
        <v>44</v>
      </c>
      <c r="E11" t="s">
        <v>153</v>
      </c>
      <c r="F11" s="2">
        <v>189500</v>
      </c>
      <c r="G11" s="52">
        <v>3190</v>
      </c>
      <c r="H11" s="58">
        <f>SUMIF(tabla_ventas[Producto],tabla_productos[[#This Row],[Codigo]],tabla_ventas[Cantidad])</f>
        <v>5</v>
      </c>
      <c r="I11" s="2">
        <f>SUMIF(tabla_ventas[Producto],tabla_productos[[#This Row],[Codigo]],tabla_ventas[Total])</f>
        <v>947500</v>
      </c>
      <c r="J11">
        <f>COUNTIF(tabla_ventas[Producto],tabla_productos[[#This Row],[Codigo]])</f>
        <v>1</v>
      </c>
    </row>
    <row r="12" spans="1:15" x14ac:dyDescent="0.25">
      <c r="B12">
        <v>11</v>
      </c>
      <c r="C12" t="s">
        <v>157</v>
      </c>
      <c r="D12" t="s">
        <v>162</v>
      </c>
      <c r="E12" t="s">
        <v>155</v>
      </c>
      <c r="F12" s="2">
        <v>1650</v>
      </c>
      <c r="G12" s="52">
        <v>9850</v>
      </c>
      <c r="H12" s="58">
        <f>SUMIF(tabla_ventas[Producto],tabla_productos[[#This Row],[Codigo]],tabla_ventas[Cantidad])</f>
        <v>0</v>
      </c>
      <c r="I12" s="2">
        <f>SUMIF(tabla_ventas[Producto],tabla_productos[[#This Row],[Codigo]],tabla_ventas[Total])</f>
        <v>0</v>
      </c>
      <c r="J12">
        <f>COUNTIF(tabla_ventas[Producto],tabla_productos[[#This Row],[Codigo]])</f>
        <v>0</v>
      </c>
    </row>
    <row r="13" spans="1:15" x14ac:dyDescent="0.25">
      <c r="B13">
        <v>12</v>
      </c>
      <c r="C13" t="s">
        <v>158</v>
      </c>
      <c r="D13" t="s">
        <v>162</v>
      </c>
      <c r="E13" t="s">
        <v>156</v>
      </c>
      <c r="F13" s="2">
        <v>3200</v>
      </c>
      <c r="G13" s="52">
        <v>4900</v>
      </c>
      <c r="H13" s="58">
        <f>SUMIF(tabla_ventas[Producto],tabla_productos[[#This Row],[Codigo]],tabla_ventas[Cantidad])</f>
        <v>0</v>
      </c>
      <c r="I13" s="2">
        <f>SUMIF(tabla_ventas[Producto],tabla_productos[[#This Row],[Codigo]],tabla_ventas[Total])</f>
        <v>0</v>
      </c>
      <c r="J13">
        <f>COUNTIF(tabla_ventas[Producto],tabla_productos[[#This Row],[Codigo]])</f>
        <v>0</v>
      </c>
    </row>
    <row r="14" spans="1:15" x14ac:dyDescent="0.25">
      <c r="B14">
        <v>13</v>
      </c>
      <c r="C14" t="s">
        <v>159</v>
      </c>
      <c r="D14" t="s">
        <v>43</v>
      </c>
      <c r="E14" t="s">
        <v>160</v>
      </c>
      <c r="F14" s="2">
        <v>95600</v>
      </c>
      <c r="G14" s="52">
        <v>2890</v>
      </c>
      <c r="H14" s="58">
        <f>SUMIF(tabla_ventas[Producto],tabla_productos[[#This Row],[Codigo]],tabla_ventas[Cantidad])</f>
        <v>0</v>
      </c>
      <c r="I14" s="2">
        <f>SUMIF(tabla_ventas[Producto],tabla_productos[[#This Row],[Codigo]],tabla_ventas[Total])</f>
        <v>0</v>
      </c>
      <c r="J14">
        <f>COUNTIF(tabla_ventas[Producto],tabla_productos[[#This Row],[Codigo]])</f>
        <v>0</v>
      </c>
    </row>
    <row r="15" spans="1:15" x14ac:dyDescent="0.25">
      <c r="B15">
        <v>14</v>
      </c>
      <c r="C15" t="s">
        <v>161</v>
      </c>
      <c r="D15" t="s">
        <v>162</v>
      </c>
      <c r="E15" t="s">
        <v>155</v>
      </c>
      <c r="F15" s="2">
        <v>1800</v>
      </c>
      <c r="G15" s="52">
        <v>9540</v>
      </c>
      <c r="H15" s="58">
        <f>SUMIF(tabla_ventas[Producto],tabla_productos[[#This Row],[Codigo]],tabla_ventas[Cantidad])</f>
        <v>0</v>
      </c>
      <c r="I15" s="2">
        <f>SUMIF(tabla_ventas[Producto],tabla_productos[[#This Row],[Codigo]],tabla_ventas[Total])</f>
        <v>0</v>
      </c>
      <c r="J15">
        <f>COUNTIF(tabla_ventas[Producto],tabla_productos[[#This Row],[Codigo]])</f>
        <v>0</v>
      </c>
    </row>
    <row r="16" spans="1:15" x14ac:dyDescent="0.25">
      <c r="B16">
        <v>15</v>
      </c>
      <c r="C16" t="s">
        <v>164</v>
      </c>
      <c r="D16" t="s">
        <v>162</v>
      </c>
      <c r="E16" t="s">
        <v>163</v>
      </c>
      <c r="F16" s="2">
        <v>28500</v>
      </c>
      <c r="G16" s="52">
        <v>5490</v>
      </c>
      <c r="H16" s="58">
        <f>SUMIF(tabla_ventas[Producto],tabla_productos[[#This Row],[Codigo]],tabla_ventas[Cantidad])</f>
        <v>0</v>
      </c>
      <c r="I16" s="2">
        <f>SUMIF(tabla_ventas[Producto],tabla_productos[[#This Row],[Codigo]],tabla_ventas[Total])</f>
        <v>0</v>
      </c>
      <c r="J16">
        <f>COUNTIF(tabla_ventas[Producto],tabla_productos[[#This Row],[Codigo]])</f>
        <v>0</v>
      </c>
    </row>
  </sheetData>
  <hyperlinks>
    <hyperlink ref="A1" location="menu!A1" display="Volver" xr:uid="{ECEF68EC-BB86-47EE-B0F0-A293ECFB4325}"/>
  </hyperlink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topLeftCell="B1" zoomScale="115" zoomScaleNormal="115" workbookViewId="0">
      <pane ySplit="1" topLeftCell="A4" activePane="bottomLeft" state="frozen"/>
      <selection pane="bottomLeft" activeCell="K4" sqref="K4"/>
    </sheetView>
  </sheetViews>
  <sheetFormatPr baseColWidth="10" defaultRowHeight="15" x14ac:dyDescent="0.25"/>
  <cols>
    <col min="1" max="1" width="11" customWidth="1"/>
    <col min="2" max="2" width="9.7109375" bestFit="1" customWidth="1"/>
    <col min="3" max="3" width="12.140625" bestFit="1" customWidth="1"/>
    <col min="4" max="4" width="11.28515625" bestFit="1" customWidth="1"/>
    <col min="5" max="5" width="11.140625" bestFit="1" customWidth="1"/>
    <col min="6" max="6" width="13.7109375" bestFit="1" customWidth="1"/>
    <col min="7" max="7" width="14" style="31" bestFit="1" customWidth="1"/>
    <col min="8" max="8" width="15.5703125" bestFit="1" customWidth="1"/>
    <col min="9" max="9" width="2.5703125" customWidth="1"/>
    <col min="10" max="10" width="11.140625" bestFit="1" customWidth="1"/>
    <col min="11" max="11" width="15.5703125" bestFit="1" customWidth="1"/>
  </cols>
  <sheetData>
    <row r="1" spans="1:11" ht="17.25" customHeight="1" x14ac:dyDescent="0.25">
      <c r="A1" s="45" t="s">
        <v>136</v>
      </c>
      <c r="B1" s="28" t="s">
        <v>49</v>
      </c>
      <c r="C1" s="28" t="s">
        <v>45</v>
      </c>
      <c r="D1" s="28" t="s">
        <v>46</v>
      </c>
      <c r="E1" s="28" t="s">
        <v>47</v>
      </c>
      <c r="F1" s="28" t="s">
        <v>39</v>
      </c>
      <c r="G1" s="29" t="s">
        <v>48</v>
      </c>
      <c r="H1" s="28" t="s">
        <v>64</v>
      </c>
      <c r="J1" s="6" t="s">
        <v>65</v>
      </c>
      <c r="K1" s="25" t="s">
        <v>95</v>
      </c>
    </row>
    <row r="2" spans="1:11" x14ac:dyDescent="0.25">
      <c r="B2" s="10" t="s">
        <v>50</v>
      </c>
      <c r="C2" s="10">
        <v>1</v>
      </c>
      <c r="D2" s="10">
        <v>2</v>
      </c>
      <c r="E2" s="10">
        <v>2</v>
      </c>
      <c r="F2" s="11">
        <v>56000</v>
      </c>
      <c r="G2" s="30">
        <f>tabla_ventas[[#This Row],[Cantidad]]*tabla_ventas[[#This Row],[Precio]]</f>
        <v>112000</v>
      </c>
      <c r="H2" s="11">
        <f>tabla_ventas[[#This Row],[Total]]*iva_ventas</f>
        <v>135520</v>
      </c>
      <c r="J2" s="9" t="s">
        <v>67</v>
      </c>
      <c r="K2" s="26" t="s">
        <v>68</v>
      </c>
    </row>
    <row r="3" spans="1:11" x14ac:dyDescent="0.25">
      <c r="B3" s="14" t="s">
        <v>51</v>
      </c>
      <c r="C3" s="14">
        <v>2</v>
      </c>
      <c r="D3" s="14">
        <v>5</v>
      </c>
      <c r="E3" s="14">
        <v>1</v>
      </c>
      <c r="F3" s="15">
        <v>85750</v>
      </c>
      <c r="G3" s="30">
        <f>tabla_ventas[[#This Row],[Cantidad]]*tabla_ventas[[#This Row],[Precio]]</f>
        <v>85750</v>
      </c>
      <c r="H3" s="15">
        <f>tabla_ventas[[#This Row],[Total]]*iva_ventas</f>
        <v>103757.5</v>
      </c>
      <c r="J3" s="13" t="s">
        <v>171</v>
      </c>
      <c r="K3" s="27">
        <f>COUNT($C:$C)</f>
        <v>18</v>
      </c>
    </row>
    <row r="4" spans="1:11" x14ac:dyDescent="0.25">
      <c r="B4" s="10" t="s">
        <v>52</v>
      </c>
      <c r="C4" s="10">
        <v>6</v>
      </c>
      <c r="D4" s="10">
        <v>4</v>
      </c>
      <c r="E4" s="10">
        <v>3</v>
      </c>
      <c r="F4" s="11">
        <v>35500</v>
      </c>
      <c r="G4" s="30">
        <f>tabla_ventas[[#This Row],[Cantidad]]*tabla_ventas[[#This Row],[Precio]]</f>
        <v>106500</v>
      </c>
      <c r="H4" s="11">
        <f>tabla_ventas[[#This Row],[Total]]*iva_ventas</f>
        <v>128865</v>
      </c>
      <c r="J4" s="9" t="s">
        <v>168</v>
      </c>
      <c r="K4" s="12">
        <f>SUM($G:$G)</f>
        <v>3704749.94</v>
      </c>
    </row>
    <row r="5" spans="1:11" x14ac:dyDescent="0.25">
      <c r="B5" s="14" t="s">
        <v>53</v>
      </c>
      <c r="C5" s="14">
        <v>4</v>
      </c>
      <c r="D5" s="14">
        <v>3</v>
      </c>
      <c r="E5" s="14">
        <v>4</v>
      </c>
      <c r="F5" s="15">
        <v>124999.99</v>
      </c>
      <c r="G5" s="30">
        <f>tabla_ventas[[#This Row],[Cantidad]]*tabla_ventas[[#This Row],[Precio]]</f>
        <v>499999.96</v>
      </c>
      <c r="H5" s="15">
        <f>tabla_ventas[[#This Row],[Total]]*iva_ventas</f>
        <v>604999.95160000003</v>
      </c>
      <c r="J5" s="13" t="s">
        <v>166</v>
      </c>
      <c r="K5" s="16">
        <f>AVERAGE($G:$G)</f>
        <v>205819.44111111111</v>
      </c>
    </row>
    <row r="6" spans="1:11" x14ac:dyDescent="0.25">
      <c r="B6" s="10" t="s">
        <v>54</v>
      </c>
      <c r="C6" s="10">
        <v>1</v>
      </c>
      <c r="D6" s="10">
        <v>2</v>
      </c>
      <c r="E6" s="10">
        <v>2</v>
      </c>
      <c r="F6" s="11">
        <v>56000</v>
      </c>
      <c r="G6" s="30">
        <f>tabla_ventas[[#This Row],[Cantidad]]*tabla_ventas[[#This Row],[Precio]]</f>
        <v>112000</v>
      </c>
      <c r="H6" s="11">
        <f>tabla_ventas[[#This Row],[Total]]*iva_ventas</f>
        <v>135520</v>
      </c>
      <c r="J6" s="9" t="s">
        <v>167</v>
      </c>
      <c r="K6" s="12">
        <f>MEDIAN($G:$G)</f>
        <v>112000</v>
      </c>
    </row>
    <row r="7" spans="1:11" x14ac:dyDescent="0.25">
      <c r="B7" s="14" t="s">
        <v>55</v>
      </c>
      <c r="C7" s="14">
        <v>6</v>
      </c>
      <c r="D7" s="14">
        <v>1</v>
      </c>
      <c r="E7" s="14">
        <v>1</v>
      </c>
      <c r="F7" s="15">
        <v>25000</v>
      </c>
      <c r="G7" s="30">
        <f>tabla_ventas[[#This Row],[Cantidad]]*tabla_ventas[[#This Row],[Precio]]</f>
        <v>25000</v>
      </c>
      <c r="H7" s="15">
        <f>tabla_ventas[[#This Row],[Total]]*iva_ventas</f>
        <v>30250</v>
      </c>
      <c r="J7" s="53" t="s">
        <v>169</v>
      </c>
      <c r="K7" s="2">
        <f>MIN(tabla_ventas[Total])</f>
        <v>25000</v>
      </c>
    </row>
    <row r="8" spans="1:11" x14ac:dyDescent="0.25">
      <c r="B8" s="10" t="s">
        <v>56</v>
      </c>
      <c r="C8" s="10">
        <v>3</v>
      </c>
      <c r="D8" s="10">
        <v>2</v>
      </c>
      <c r="E8" s="10">
        <v>3</v>
      </c>
      <c r="F8" s="11">
        <v>56000</v>
      </c>
      <c r="G8" s="30">
        <f>tabla_ventas[[#This Row],[Cantidad]]*tabla_ventas[[#This Row],[Precio]]</f>
        <v>168000</v>
      </c>
      <c r="H8" s="11">
        <f>tabla_ventas[[#This Row],[Total]]*iva_ventas</f>
        <v>203280</v>
      </c>
      <c r="J8" s="9" t="s">
        <v>170</v>
      </c>
      <c r="K8" s="54">
        <f>MAX(tabla_ventas[Total])</f>
        <v>947500</v>
      </c>
    </row>
    <row r="9" spans="1:11" x14ac:dyDescent="0.25">
      <c r="B9" s="14" t="s">
        <v>57</v>
      </c>
      <c r="C9" s="14">
        <v>2</v>
      </c>
      <c r="D9" s="14">
        <v>3</v>
      </c>
      <c r="E9" s="14">
        <v>2</v>
      </c>
      <c r="F9" s="15">
        <v>124999.99</v>
      </c>
      <c r="G9" s="30">
        <f>tabla_ventas[[#This Row],[Cantidad]]*tabla_ventas[[#This Row],[Precio]]</f>
        <v>249999.98</v>
      </c>
      <c r="H9" s="15">
        <f>tabla_ventas[[#This Row],[Total]]*iva_ventas</f>
        <v>302499.97580000001</v>
      </c>
      <c r="J9" s="13" t="s">
        <v>45</v>
      </c>
      <c r="K9" s="27">
        <f>MODE($C:$C)</f>
        <v>1</v>
      </c>
    </row>
    <row r="10" spans="1:11" x14ac:dyDescent="0.25">
      <c r="B10" s="10" t="s">
        <v>58</v>
      </c>
      <c r="C10" s="10">
        <v>5</v>
      </c>
      <c r="D10" s="10">
        <v>4</v>
      </c>
      <c r="E10" s="10">
        <v>1</v>
      </c>
      <c r="F10" s="11">
        <v>35500</v>
      </c>
      <c r="G10" s="30">
        <f>tabla_ventas[[#This Row],[Cantidad]]*tabla_ventas[[#This Row],[Precio]]</f>
        <v>35500</v>
      </c>
      <c r="H10" s="11">
        <f>tabla_ventas[[#This Row],[Total]]*iva_ventas</f>
        <v>42955</v>
      </c>
      <c r="J10" s="4" t="s">
        <v>46</v>
      </c>
      <c r="K10" s="18">
        <f>MODE($D:$D)</f>
        <v>2</v>
      </c>
    </row>
    <row r="11" spans="1:11" x14ac:dyDescent="0.25">
      <c r="B11" s="14" t="s">
        <v>59</v>
      </c>
      <c r="C11" s="14">
        <v>2</v>
      </c>
      <c r="D11" s="14">
        <v>5</v>
      </c>
      <c r="E11" s="14">
        <v>4</v>
      </c>
      <c r="F11" s="15">
        <v>85750</v>
      </c>
      <c r="G11" s="30">
        <f>tabla_ventas[[#This Row],[Cantidad]]*tabla_ventas[[#This Row],[Precio]]</f>
        <v>343000</v>
      </c>
      <c r="H11" s="15">
        <f>tabla_ventas[[#This Row],[Total]]*iva_ventas</f>
        <v>415030</v>
      </c>
    </row>
    <row r="12" spans="1:11" x14ac:dyDescent="0.25">
      <c r="B12" s="10" t="s">
        <v>60</v>
      </c>
      <c r="C12" s="10">
        <v>7</v>
      </c>
      <c r="D12" s="10">
        <v>2</v>
      </c>
      <c r="E12" s="10">
        <v>2</v>
      </c>
      <c r="F12" s="11">
        <v>56000</v>
      </c>
      <c r="G12" s="30">
        <f>tabla_ventas[[#This Row],[Cantidad]]*tabla_ventas[[#This Row],[Precio]]</f>
        <v>112000</v>
      </c>
      <c r="H12" s="11">
        <f>tabla_ventas[[#This Row],[Total]]*iva_ventas</f>
        <v>135520</v>
      </c>
    </row>
    <row r="13" spans="1:11" x14ac:dyDescent="0.25">
      <c r="B13" s="14" t="s">
        <v>61</v>
      </c>
      <c r="C13" s="14">
        <v>8</v>
      </c>
      <c r="D13" s="14">
        <v>1</v>
      </c>
      <c r="E13" s="14">
        <v>3</v>
      </c>
      <c r="F13" s="15">
        <v>25000</v>
      </c>
      <c r="G13" s="30">
        <f>tabla_ventas[[#This Row],[Cantidad]]*tabla_ventas[[#This Row],[Precio]]</f>
        <v>75000</v>
      </c>
      <c r="H13" s="15">
        <f>tabla_ventas[[#This Row],[Total]]*iva_ventas</f>
        <v>90750</v>
      </c>
    </row>
    <row r="14" spans="1:11" x14ac:dyDescent="0.25">
      <c r="B14" s="10" t="s">
        <v>62</v>
      </c>
      <c r="C14" s="10">
        <v>1</v>
      </c>
      <c r="D14" s="10">
        <v>2</v>
      </c>
      <c r="E14" s="10">
        <v>1</v>
      </c>
      <c r="F14" s="11">
        <v>56000</v>
      </c>
      <c r="G14" s="30">
        <f>tabla_ventas[[#This Row],[Cantidad]]*tabla_ventas[[#This Row],[Precio]]</f>
        <v>56000</v>
      </c>
      <c r="H14" s="11">
        <f>tabla_ventas[[#This Row],[Total]]*iva_ventas</f>
        <v>67760</v>
      </c>
    </row>
    <row r="15" spans="1:11" x14ac:dyDescent="0.25">
      <c r="B15" s="14" t="s">
        <v>63</v>
      </c>
      <c r="C15" s="14">
        <v>8</v>
      </c>
      <c r="D15" s="14">
        <v>5</v>
      </c>
      <c r="E15" s="14">
        <v>2</v>
      </c>
      <c r="F15" s="15">
        <v>85750</v>
      </c>
      <c r="G15" s="30">
        <f>tabla_ventas[[#This Row],[Cantidad]]*tabla_ventas[[#This Row],[Precio]]</f>
        <v>171500</v>
      </c>
      <c r="H15" s="15">
        <f>tabla_ventas[[#This Row],[Total]]*iva_ventas</f>
        <v>207515</v>
      </c>
    </row>
    <row r="16" spans="1:11" x14ac:dyDescent="0.25">
      <c r="B16" s="10" t="s">
        <v>66</v>
      </c>
      <c r="C16" s="10">
        <v>1</v>
      </c>
      <c r="D16" s="10">
        <v>2</v>
      </c>
      <c r="E16" s="10">
        <v>2</v>
      </c>
      <c r="F16" s="11">
        <v>56000</v>
      </c>
      <c r="G16" s="30">
        <f>tabla_ventas[[#This Row],[Cantidad]]*tabla_ventas[[#This Row],[Precio]]</f>
        <v>112000</v>
      </c>
      <c r="H16" s="11">
        <f>tabla_ventas[[#This Row],[Total]]*iva_ventas</f>
        <v>135520</v>
      </c>
    </row>
    <row r="17" spans="2:8" x14ac:dyDescent="0.25">
      <c r="B17" s="71" t="s">
        <v>175</v>
      </c>
      <c r="C17" s="71">
        <v>6</v>
      </c>
      <c r="D17" s="71">
        <v>6</v>
      </c>
      <c r="E17" s="71">
        <v>6</v>
      </c>
      <c r="F17" s="72">
        <v>35500</v>
      </c>
      <c r="G17" s="30">
        <f>tabla_ventas[[#This Row],[Cantidad]]*tabla_ventas[[#This Row],[Precio]]</f>
        <v>213000</v>
      </c>
      <c r="H17" s="72">
        <f>tabla_ventas[[#This Row],[Total]]*iva_ventas</f>
        <v>257730</v>
      </c>
    </row>
    <row r="18" spans="2:8" x14ac:dyDescent="0.25">
      <c r="B18" s="10" t="s">
        <v>178</v>
      </c>
      <c r="C18" s="10">
        <v>4</v>
      </c>
      <c r="D18" s="10">
        <v>2</v>
      </c>
      <c r="E18" s="10">
        <v>5</v>
      </c>
      <c r="F18" s="11">
        <v>56000</v>
      </c>
      <c r="G18" s="30">
        <f>tabla_ventas[[#This Row],[Cantidad]]*tabla_ventas[[#This Row],[Precio]]</f>
        <v>280000</v>
      </c>
      <c r="H18" s="11">
        <f>tabla_ventas[[#This Row],[Total]]*iva_ventas</f>
        <v>338800</v>
      </c>
    </row>
    <row r="19" spans="2:8" x14ac:dyDescent="0.25">
      <c r="B19" s="10" t="s">
        <v>179</v>
      </c>
      <c r="C19" s="10">
        <v>1</v>
      </c>
      <c r="D19" s="10">
        <v>10</v>
      </c>
      <c r="E19" s="10">
        <v>5</v>
      </c>
      <c r="F19" s="11">
        <v>189500</v>
      </c>
      <c r="G19" s="30">
        <f>tabla_ventas[[#This Row],[Cantidad]]*tabla_ventas[[#This Row],[Precio]]</f>
        <v>947500</v>
      </c>
      <c r="H19" s="11">
        <f>tabla_ventas[[#This Row],[Total]]*iva_ventas</f>
        <v>1146475</v>
      </c>
    </row>
  </sheetData>
  <phoneticPr fontId="4" type="noConversion"/>
  <hyperlinks>
    <hyperlink ref="A1" location="menu!A1" display="Volver" xr:uid="{261F7D50-C145-4C27-AC5E-50FB264B982C}"/>
  </hyperlinks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tabSelected="1" zoomScaleNormal="100" workbookViewId="0">
      <pane ySplit="1" topLeftCell="A3" activePane="bottomLeft" state="frozen"/>
      <selection pane="bottomLeft" activeCell="C45" sqref="C45:E53"/>
    </sheetView>
  </sheetViews>
  <sheetFormatPr baseColWidth="10" defaultRowHeight="15" x14ac:dyDescent="0.25"/>
  <cols>
    <col min="1" max="1" width="11.28515625" customWidth="1"/>
  </cols>
  <sheetData>
    <row r="1" spans="1:1" x14ac:dyDescent="0.25">
      <c r="A1" s="45" t="s">
        <v>136</v>
      </c>
    </row>
  </sheetData>
  <hyperlinks>
    <hyperlink ref="A1" location="menu!A1" display="Volver" xr:uid="{D14498A6-7B24-4ABE-88AB-4CFAB7CF46A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2022-12-16T18:52:11Z</dcterms:modified>
</cp:coreProperties>
</file>