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x15\"/>
    </mc:Choice>
  </mc:AlternateContent>
  <xr:revisionPtr revIDLastSave="0" documentId="13_ncr:1_{2B323D9F-3542-4E1F-ADB5-2F7D84AED08F}" xr6:coauthVersionLast="47" xr6:coauthVersionMax="47" xr10:uidLastSave="{00000000-0000-0000-0000-000000000000}"/>
  <bookViews>
    <workbookView xWindow="-120" yWindow="-120" windowWidth="20730" windowHeight="11040" activeTab="2" xr2:uid="{3E9C49A6-A9BE-4135-BB45-FA066360A8CA}"/>
  </bookViews>
  <sheets>
    <sheet name="presentismo" sheetId="1" r:id="rId1"/>
    <sheet name="ventas" sheetId="2" r:id="rId2"/>
    <sheet name="datos" sheetId="3" r:id="rId3"/>
  </sheets>
  <definedNames>
    <definedName name="char">datos!$N$1</definedName>
    <definedName name="IVA">ventas!$B$1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C10" i="3" s="1"/>
  <c r="E10" i="3"/>
  <c r="B10" i="3" s="1"/>
  <c r="I10" i="3"/>
  <c r="J10" i="3"/>
  <c r="K10" i="3"/>
  <c r="D8" i="3"/>
  <c r="D9" i="3"/>
  <c r="C9" i="3" s="1"/>
  <c r="E9" i="3"/>
  <c r="I9" i="3"/>
  <c r="J9" i="3"/>
  <c r="K9" i="3"/>
  <c r="J2" i="3"/>
  <c r="J3" i="3"/>
  <c r="J4" i="3"/>
  <c r="J5" i="3"/>
  <c r="J6" i="3"/>
  <c r="J7" i="3"/>
  <c r="J8" i="3"/>
  <c r="K2" i="3"/>
  <c r="K3" i="3"/>
  <c r="K4" i="3"/>
  <c r="K5" i="3"/>
  <c r="K6" i="3"/>
  <c r="K7" i="3"/>
  <c r="K8" i="3"/>
  <c r="I2" i="3"/>
  <c r="I3" i="3"/>
  <c r="I4" i="3"/>
  <c r="I5" i="3"/>
  <c r="I6" i="3"/>
  <c r="I7" i="3"/>
  <c r="I8" i="3"/>
  <c r="A2" i="3"/>
  <c r="D2" i="3" s="1"/>
  <c r="A3" i="3"/>
  <c r="D3" i="3" s="1"/>
  <c r="A4" i="3"/>
  <c r="D4" i="3" s="1"/>
  <c r="A5" i="3"/>
  <c r="A6" i="3"/>
  <c r="D6" i="3" s="1"/>
  <c r="A7" i="3"/>
  <c r="D7" i="3" s="1"/>
  <c r="A8" i="3"/>
  <c r="H16" i="2"/>
  <c r="I16" i="2" s="1"/>
  <c r="J16" i="2" s="1"/>
  <c r="B3" i="2"/>
  <c r="B4" i="2"/>
  <c r="B5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A9" i="1"/>
  <c r="B9" i="1"/>
  <c r="AF4" i="1"/>
  <c r="AF2" i="1"/>
  <c r="AG2" i="1"/>
  <c r="AK5" i="1" s="1"/>
  <c r="AF3" i="1"/>
  <c r="AG3" i="1"/>
  <c r="AG4" i="1"/>
  <c r="AF5" i="1"/>
  <c r="AG5" i="1"/>
  <c r="AF7" i="1"/>
  <c r="AG7" i="1"/>
  <c r="AF8" i="1"/>
  <c r="AG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6" i="1"/>
  <c r="AG6" i="1" s="1"/>
  <c r="D5" i="3" l="1"/>
  <c r="C5" i="3" s="1"/>
  <c r="C8" i="3"/>
  <c r="E5" i="3"/>
  <c r="B5" i="3" s="1"/>
  <c r="E7" i="3"/>
  <c r="B7" i="3" s="1"/>
  <c r="C7" i="3"/>
  <c r="C3" i="3"/>
  <c r="E3" i="3"/>
  <c r="B3" i="3" s="1"/>
  <c r="E8" i="3"/>
  <c r="B8" i="3" s="1"/>
  <c r="C6" i="3"/>
  <c r="C2" i="3"/>
  <c r="B9" i="3"/>
  <c r="E6" i="3"/>
  <c r="B6" i="3" s="1"/>
  <c r="E4" i="3"/>
  <c r="C4" i="3"/>
  <c r="E2" i="3"/>
  <c r="B2" i="3" s="1"/>
  <c r="B9" i="2"/>
  <c r="B8" i="2"/>
  <c r="B7" i="2"/>
  <c r="B6" i="2"/>
  <c r="J13" i="2"/>
  <c r="J9" i="2"/>
  <c r="J5" i="2"/>
  <c r="J12" i="2"/>
  <c r="J8" i="2"/>
  <c r="J4" i="2"/>
  <c r="J15" i="2"/>
  <c r="J11" i="2"/>
  <c r="J7" i="2"/>
  <c r="J3" i="2"/>
  <c r="J14" i="2"/>
  <c r="J10" i="2"/>
  <c r="J6" i="2"/>
  <c r="J2" i="2"/>
  <c r="AE9" i="1"/>
  <c r="AK8" i="1"/>
  <c r="AK6" i="1"/>
  <c r="AK7" i="1"/>
  <c r="AK2" i="1"/>
  <c r="AG9" i="1"/>
  <c r="AF6" i="1"/>
  <c r="AJ7" i="1" s="1"/>
  <c r="AK4" i="1"/>
  <c r="AK3" i="1"/>
  <c r="B4" i="3" l="1"/>
  <c r="B2" i="2"/>
  <c r="AJ6" i="1"/>
  <c r="AJ8" i="1"/>
  <c r="AF9" i="1"/>
  <c r="AJ5" i="1"/>
  <c r="AJ2" i="1"/>
  <c r="AJ4" i="1"/>
  <c r="AJ3" i="1"/>
</calcChain>
</file>

<file path=xl/sharedStrings.xml><?xml version="1.0" encoding="utf-8"?>
<sst xmlns="http://schemas.openxmlformats.org/spreadsheetml/2006/main" count="240" uniqueCount="84">
  <si>
    <t>Empleado</t>
  </si>
  <si>
    <t>Martinez, Mariano</t>
  </si>
  <si>
    <t>Francisca, Casas</t>
  </si>
  <si>
    <t>Juan, Perez</t>
  </si>
  <si>
    <t>Gonzalez, Gonzalo</t>
  </si>
  <si>
    <t>1/9/22</t>
  </si>
  <si>
    <t>2/9/22</t>
  </si>
  <si>
    <t>3/9/22</t>
  </si>
  <si>
    <t>4/9/22</t>
  </si>
  <si>
    <t>5/9/22</t>
  </si>
  <si>
    <t>6/9/22</t>
  </si>
  <si>
    <t>7/9/22</t>
  </si>
  <si>
    <t>8/9/22</t>
  </si>
  <si>
    <t>9/9/22</t>
  </si>
  <si>
    <t>10/9/22</t>
  </si>
  <si>
    <t>11/9/22</t>
  </si>
  <si>
    <t>12/9/22</t>
  </si>
  <si>
    <t>13/9/22</t>
  </si>
  <si>
    <t>14/9/22</t>
  </si>
  <si>
    <t>15/9/22</t>
  </si>
  <si>
    <t>16/9/22</t>
  </si>
  <si>
    <t>17/9/22</t>
  </si>
  <si>
    <t>18/9/22</t>
  </si>
  <si>
    <t>19/9/22</t>
  </si>
  <si>
    <t>20/9/22</t>
  </si>
  <si>
    <t>21/9/22</t>
  </si>
  <si>
    <t>22/9/22</t>
  </si>
  <si>
    <t>23/9/22</t>
  </si>
  <si>
    <t>24/9/22</t>
  </si>
  <si>
    <t>25/9/22</t>
  </si>
  <si>
    <t>26/9/22</t>
  </si>
  <si>
    <t>27/9/22</t>
  </si>
  <si>
    <t>28/9/22</t>
  </si>
  <si>
    <t>29/9/22</t>
  </si>
  <si>
    <t>30/9/22</t>
  </si>
  <si>
    <t>asist</t>
  </si>
  <si>
    <t>aus</t>
  </si>
  <si>
    <t>p</t>
  </si>
  <si>
    <t>Estadisticas</t>
  </si>
  <si>
    <t>promedio</t>
  </si>
  <si>
    <t>mediana</t>
  </si>
  <si>
    <t>cantidad</t>
  </si>
  <si>
    <t>total</t>
  </si>
  <si>
    <t>codigo</t>
  </si>
  <si>
    <t>precio</t>
  </si>
  <si>
    <t>iva</t>
  </si>
  <si>
    <t>valor iva</t>
  </si>
  <si>
    <t>MAX</t>
  </si>
  <si>
    <t>MIN</t>
  </si>
  <si>
    <t>PROMEDIO</t>
  </si>
  <si>
    <t>MEDIANA</t>
  </si>
  <si>
    <t>MODA</t>
  </si>
  <si>
    <t>CONTAR</t>
  </si>
  <si>
    <t>SUMA</t>
  </si>
  <si>
    <t>final</t>
  </si>
  <si>
    <t>ventas</t>
  </si>
  <si>
    <t>N°</t>
  </si>
  <si>
    <t>min total</t>
  </si>
  <si>
    <t>max total</t>
  </si>
  <si>
    <t>max cant.</t>
  </si>
  <si>
    <t>moda cod.</t>
  </si>
  <si>
    <t>Nombres</t>
  </si>
  <si>
    <t>Apellidos</t>
  </si>
  <si>
    <t>Nacimiento</t>
  </si>
  <si>
    <t>Edad</t>
  </si>
  <si>
    <t>CUIL</t>
  </si>
  <si>
    <t>20-35336446-5</t>
  </si>
  <si>
    <t>ID</t>
  </si>
  <si>
    <t>G</t>
  </si>
  <si>
    <t>V</t>
  </si>
  <si>
    <t>27-36806507-1</t>
  </si>
  <si>
    <t>20-27423190-3</t>
  </si>
  <si>
    <t>20-12839481-2</t>
  </si>
  <si>
    <t>27-94975900-3</t>
  </si>
  <si>
    <t>27-36873001-7</t>
  </si>
  <si>
    <t>20-24717271-9</t>
  </si>
  <si>
    <t>largo</t>
  </si>
  <si>
    <t>separador</t>
  </si>
  <si>
    <t>,</t>
  </si>
  <si>
    <t>Cristian Damian,Racedo</t>
  </si>
  <si>
    <t>Belen,    Tambella</t>
  </si>
  <si>
    <t>Romina,  Gurruchaga</t>
  </si>
  <si>
    <t>De la Cruz, Miguel</t>
  </si>
  <si>
    <t>d'Arc, Joan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</si>
</sst>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d/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textRotation="90"/>
    </xf>
    <xf numFmtId="0" fontId="0" fillId="0" borderId="0" xfId="0" applyNumberFormat="1"/>
    <xf numFmtId="2" fontId="0" fillId="0" borderId="0" xfId="0" applyNumberFormat="1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0" fillId="0" borderId="0" xfId="0" applyFont="1" applyFill="1" applyBorder="1"/>
    <xf numFmtId="44" fontId="0" fillId="0" borderId="0" xfId="1" applyNumberFormat="1" applyFont="1" applyFill="1" applyBorder="1"/>
    <xf numFmtId="4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/>
    <xf numFmtId="44" fontId="0" fillId="0" borderId="0" xfId="1" applyNumberFormat="1" applyFont="1" applyFill="1"/>
    <xf numFmtId="44" fontId="0" fillId="0" borderId="0" xfId="0" applyNumberFormat="1" applyFont="1" applyFill="1"/>
    <xf numFmtId="14" fontId="0" fillId="0" borderId="0" xfId="0" applyNumberFormat="1"/>
  </cellXfs>
  <cellStyles count="2">
    <cellStyle name="Moneda" xfId="1" builtinId="4"/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  <alignment horizontal="center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39B5D-32B5-4255-83E1-E29C47CE9F2B}" name="presentismo" displayName="presentismo" ref="A1:AG9" totalsRowCount="1" headerRowDxfId="36">
  <autoFilter ref="A1:AG8" xr:uid="{ABC39B5D-32B5-4255-83E1-E29C47CE9F2B}"/>
  <tableColumns count="33">
    <tableColumn id="1" xr3:uid="{63E8AE85-7078-42EA-8049-5AA43D1477D3}" name="Empleado" totalsRowFunction="custom">
      <totalsRowFormula>COUNTA(presentismo[Empleado])</totalsRowFormula>
    </tableColumn>
    <tableColumn id="2" xr3:uid="{009B11C5-9A79-4451-B4DF-A9A85993307E}" name="1/9/22" totalsRowFunction="custom">
      <totalsRowFormula>COUNTBLANK(presentismo[1/9/22])</totalsRowFormula>
    </tableColumn>
    <tableColumn id="3" xr3:uid="{13839942-7C3B-4C39-B28B-AC898EBACE02}" name="2/9/22" totalsRowFunction="custom">
      <totalsRowFormula>COUNTBLANK(presentismo[2/9/22])</totalsRowFormula>
    </tableColumn>
    <tableColumn id="4" xr3:uid="{9A72A611-7760-462B-A7C7-BD0D332F5CA9}" name="3/9/22" totalsRowFunction="custom" dataDxfId="35">
      <totalsRowFormula>COUNTBLANK(presentismo[3/9/22])</totalsRowFormula>
    </tableColumn>
    <tableColumn id="5" xr3:uid="{AC62A34A-0D01-470A-AB5F-268BDE4B1AD7}" name="4/9/22" totalsRowFunction="custom" dataDxfId="34">
      <totalsRowFormula>COUNTBLANK(presentismo[4/9/22])</totalsRowFormula>
    </tableColumn>
    <tableColumn id="6" xr3:uid="{39BC89E1-33D7-4B87-A051-3A42F7FD183C}" name="5/9/22" totalsRowFunction="custom" dataDxfId="33">
      <totalsRowFormula>COUNTBLANK(presentismo[5/9/22])</totalsRowFormula>
    </tableColumn>
    <tableColumn id="7" xr3:uid="{FD1A76DA-6C14-47F4-B7DE-192BC1144799}" name="6/9/22" totalsRowFunction="custom" dataDxfId="32">
      <totalsRowFormula>COUNTBLANK(presentismo[6/9/22])</totalsRowFormula>
    </tableColumn>
    <tableColumn id="8" xr3:uid="{72EE9BAD-45DB-49B3-BC94-2F2023604AC1}" name="7/9/22" totalsRowFunction="custom" dataDxfId="31">
      <totalsRowFormula>COUNTBLANK(presentismo[7/9/22])</totalsRowFormula>
    </tableColumn>
    <tableColumn id="9" xr3:uid="{AEB66E77-4AC8-4C77-84DC-301D9C357E10}" name="8/9/22" totalsRowFunction="custom" dataDxfId="30">
      <totalsRowFormula>COUNTBLANK(presentismo[8/9/22])</totalsRowFormula>
    </tableColumn>
    <tableColumn id="10" xr3:uid="{D7BBB940-F1FD-469E-99D4-E0E8F08DA48C}" name="9/9/22" totalsRowFunction="custom" dataDxfId="29">
      <totalsRowFormula>COUNTBLANK(presentismo[9/9/22])</totalsRowFormula>
    </tableColumn>
    <tableColumn id="11" xr3:uid="{E013540E-F42C-4310-9BD2-372E388003A4}" name="10/9/22" totalsRowFunction="custom">
      <totalsRowFormula>COUNTBLANK(presentismo[10/9/22])</totalsRowFormula>
    </tableColumn>
    <tableColumn id="12" xr3:uid="{FBCCE449-80B0-44D4-808E-708C7F3319C7}" name="11/9/22" totalsRowFunction="custom">
      <totalsRowFormula>COUNTBLANK(presentismo[11/9/22])</totalsRowFormula>
    </tableColumn>
    <tableColumn id="13" xr3:uid="{C9768850-87D3-41F3-A42C-9A2B7172C26B}" name="12/9/22" totalsRowFunction="custom">
      <totalsRowFormula>COUNTBLANK(presentismo[12/9/22])</totalsRowFormula>
    </tableColumn>
    <tableColumn id="14" xr3:uid="{4693F526-AC90-4841-84B4-892220E62612}" name="13/9/22" totalsRowFunction="custom">
      <totalsRowFormula>COUNTBLANK(presentismo[13/9/22])</totalsRowFormula>
    </tableColumn>
    <tableColumn id="15" xr3:uid="{3A6651B3-27FE-4C73-8D91-56C5E69806A8}" name="14/9/22" totalsRowFunction="custom">
      <totalsRowFormula>COUNTBLANK(presentismo[14/9/22])</totalsRowFormula>
    </tableColumn>
    <tableColumn id="16" xr3:uid="{36B417AE-F126-4023-BEBD-61D669212878}" name="15/9/22" totalsRowFunction="custom">
      <totalsRowFormula>COUNTBLANK(presentismo[15/9/22])</totalsRowFormula>
    </tableColumn>
    <tableColumn id="17" xr3:uid="{E12E6B64-259F-4DA7-B839-F31717D40A22}" name="16/9/22" totalsRowFunction="custom" dataDxfId="28">
      <totalsRowFormula>COUNTBLANK(presentismo[16/9/22])</totalsRowFormula>
    </tableColumn>
    <tableColumn id="18" xr3:uid="{58362C88-F69A-43C0-9D9A-684A8905968E}" name="17/9/22" totalsRowFunction="custom" dataDxfId="27">
      <totalsRowFormula>COUNTBLANK(presentismo[17/9/22])</totalsRowFormula>
    </tableColumn>
    <tableColumn id="19" xr3:uid="{C3058D62-1CAE-47E2-8346-A028F946A203}" name="18/9/22" totalsRowFunction="custom" dataDxfId="26">
      <totalsRowFormula>COUNTBLANK(presentismo[18/9/22])</totalsRowFormula>
    </tableColumn>
    <tableColumn id="20" xr3:uid="{A533AA87-A012-4B18-93F9-B7554A868A7C}" name="19/9/22" totalsRowFunction="custom" dataDxfId="25">
      <totalsRowFormula>COUNTBLANK(presentismo[19/9/22])</totalsRowFormula>
    </tableColumn>
    <tableColumn id="21" xr3:uid="{7D16EBB2-4A0A-40CE-B424-0DA3F09EB849}" name="20/9/22" totalsRowFunction="custom" dataDxfId="24">
      <totalsRowFormula>COUNTBLANK(presentismo[20/9/22])</totalsRowFormula>
    </tableColumn>
    <tableColumn id="22" xr3:uid="{27C05328-2466-48CF-AD99-1C66D6AF5B21}" name="21/9/22" totalsRowFunction="custom" dataDxfId="23">
      <totalsRowFormula>COUNTBLANK(presentismo[21/9/22])</totalsRowFormula>
    </tableColumn>
    <tableColumn id="23" xr3:uid="{7EA9120E-0252-4278-9845-2325FC6A55DB}" name="22/9/22" totalsRowFunction="custom" dataDxfId="22">
      <totalsRowFormula>COUNTBLANK(presentismo[22/9/22])</totalsRowFormula>
    </tableColumn>
    <tableColumn id="24" xr3:uid="{F327F5D0-2B53-4E47-9DB6-4B3AFEA7020F}" name="23/9/22" totalsRowFunction="custom" dataDxfId="21">
      <totalsRowFormula>COUNTBLANK(presentismo[23/9/22])</totalsRowFormula>
    </tableColumn>
    <tableColumn id="25" xr3:uid="{E2B3D0DD-E9FE-47CE-9300-9DEF701345F6}" name="24/9/22" totalsRowFunction="custom" dataDxfId="20">
      <totalsRowFormula>COUNTBLANK(presentismo[24/9/22])</totalsRowFormula>
    </tableColumn>
    <tableColumn id="26" xr3:uid="{624B1A60-489E-4F85-B8A7-06DD389AF174}" name="25/9/22" totalsRowFunction="custom" dataDxfId="19">
      <totalsRowFormula>COUNTBLANK(presentismo[25/9/22])</totalsRowFormula>
    </tableColumn>
    <tableColumn id="27" xr3:uid="{AA931E08-C2D5-4EEC-882D-D051DE15F54E}" name="26/9/22" totalsRowFunction="custom">
      <totalsRowFormula>COUNTBLANK(presentismo[26/9/22])</totalsRowFormula>
    </tableColumn>
    <tableColumn id="28" xr3:uid="{0D9EFFDD-E112-46EE-B66F-908C649CD88E}" name="27/9/22" totalsRowFunction="custom">
      <totalsRowFormula>COUNTBLANK(presentismo[27/9/22])</totalsRowFormula>
    </tableColumn>
    <tableColumn id="29" xr3:uid="{FF5A027C-A024-47CC-BB8B-E1DBA74F5B20}" name="28/9/22" totalsRowFunction="custom">
      <totalsRowFormula>COUNTBLANK(presentismo[28/9/22])</totalsRowFormula>
    </tableColumn>
    <tableColumn id="30" xr3:uid="{F7D35616-5B55-4F3F-AD21-24E9A1DA0890}" name="29/9/22" totalsRowFunction="custom">
      <totalsRowFormula>COUNTBLANK(presentismo[29/9/22])</totalsRowFormula>
    </tableColumn>
    <tableColumn id="31" xr3:uid="{480A7E2D-67A4-4E7B-B27F-A24C65D91962}" name="30/9/22" totalsRowFunction="custom">
      <totalsRowFormula>COUNTBLANK(presentismo[30/9/22])</totalsRowFormula>
    </tableColumn>
    <tableColumn id="32" xr3:uid="{133DF08D-95F8-4230-91B5-56B9A79C2352}" name="asist" totalsRowFunction="sum" dataDxfId="18">
      <calculatedColumnFormula>COUNTA(B2:AE2)</calculatedColumnFormula>
    </tableColumn>
    <tableColumn id="33" xr3:uid="{133D5CC8-5838-4915-83E6-667360020595}" name="aus" totalsRowFunction="sum" dataDxfId="17">
      <calculatedColumnFormula>COUNTBLANK(B2:AE2)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E4641-B35C-4CD9-92FE-750A373E4194}" name="estadisticas" displayName="estadisticas" ref="AI1:AK8" totalsRowShown="0" headerRowDxfId="16">
  <autoFilter ref="AI1:AK8" xr:uid="{AC0E4641-B35C-4CD9-92FE-750A373E4194}"/>
  <tableColumns count="3">
    <tableColumn id="1" xr3:uid="{CE7D112E-6D17-4595-9933-39DA72A6ADB2}" name="Estadisticas"/>
    <tableColumn id="2" xr3:uid="{6325A483-F5AB-48C4-90E7-322EEB007858}" name="asist"/>
    <tableColumn id="3" xr3:uid="{564785AD-6ABD-4027-9AC3-082AAB9A719E}" name="a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AA9159-1798-41AE-AFF3-57BB5EA4C1B7}" name="ventas" displayName="ventas" ref="D1:J16" totalsRowShown="0" headerRowDxfId="15">
  <autoFilter ref="D1:J16" xr:uid="{A1AA9159-1798-41AE-AFF3-57BB5EA4C1B7}"/>
  <sortState xmlns:xlrd2="http://schemas.microsoft.com/office/spreadsheetml/2017/richdata2" ref="D2:J16">
    <sortCondition ref="D1:D16"/>
  </sortState>
  <tableColumns count="7">
    <tableColumn id="7" xr3:uid="{A381330E-F4A8-4BBD-BC64-9A73EEDCC392}" name="N°" dataDxfId="9"/>
    <tableColumn id="1" xr3:uid="{F6E76D89-322E-4D75-A74E-68AF06F7DC96}" name="codigo" dataDxfId="8"/>
    <tableColumn id="2" xr3:uid="{353A13BB-3BAF-4C06-84B7-15F34265E66A}" name="cantidad" dataDxfId="14"/>
    <tableColumn id="3" xr3:uid="{C670BE43-C0CE-469D-BC40-FE36881E39EE}" name="precio" dataDxfId="13" dataCellStyle="Moneda"/>
    <tableColumn id="4" xr3:uid="{50C45626-2809-4E8F-B36B-CB4DC8B3CF65}" name="total" dataDxfId="12">
      <calculatedColumnFormula>ventas[[#This Row],[cantidad]]*ventas[[#This Row],[precio]]</calculatedColumnFormula>
    </tableColumn>
    <tableColumn id="5" xr3:uid="{52CA682E-6371-4436-B810-96AF5C14054D}" name="valor iva" dataDxfId="11">
      <calculatedColumnFormula>ventas[[#This Row],[total]]*IVA</calculatedColumnFormula>
    </tableColumn>
    <tableColumn id="6" xr3:uid="{24C973B9-A956-4128-BB6E-482433A106CB}" name="final" dataDxfId="10">
      <calculatedColumnFormula>ventas[[#This Row],[total]]+ventas[[#This Row],[valor iva]]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0AA4B2-FF21-487E-8D52-AA51A2DABCAE}" name="Tabla5" displayName="Tabla5" ref="A1:K10" totalsRowShown="0">
  <autoFilter ref="A1:K10" xr:uid="{060AA4B2-FF21-487E-8D52-AA51A2DABCAE}"/>
  <tableColumns count="11">
    <tableColumn id="1" xr3:uid="{03647A69-AB09-4546-9A35-01FA5748E881}" name="Empleado" dataDxfId="7">
      <calculatedColumnFormula>presentismo[[#This Row],[Empleado]]</calculatedColumnFormula>
    </tableColumn>
    <tableColumn id="2" xr3:uid="{FD070192-FBFB-4B5F-891C-4B781E8A5CE1}" name="Apellidos" dataDxfId="2">
      <calculatedColumnFormula>TRIM(RIGHT(Tabla5[[#This Row],[Empleado]],Tabla5[[#This Row],[largo]] - (Tabla5[[#This Row],[separador]] )))</calculatedColumnFormula>
    </tableColumn>
    <tableColumn id="3" xr3:uid="{8D99A318-2A34-4385-91F0-D58E9DC1BA52}" name="Nombres" dataDxfId="1">
      <calculatedColumnFormula>TRIM(LEFT(Tabla5[[#This Row],[Empleado]],Tabla5[[#This Row],[separador]] - 1))</calculatedColumnFormula>
    </tableColumn>
    <tableColumn id="11" xr3:uid="{5B59A7AC-F2FF-4996-A456-5F560134E495}" name="separador" dataDxfId="0">
      <calculatedColumnFormula>FIND(char,Tabla5[[#This Row],[Empleado]])</calculatedColumnFormula>
    </tableColumn>
    <tableColumn id="10" xr3:uid="{FECA3361-4790-44C8-853D-4D9FCFFEA811}" name="largo" dataDxfId="3">
      <calculatedColumnFormula>LEN(Tabla5[[#This Row],[Empleado]])</calculatedColumnFormula>
    </tableColumn>
    <tableColumn id="4" xr3:uid="{7FAAF893-41DD-4433-9412-06936F9828E5}" name="Nacimiento"/>
    <tableColumn id="5" xr3:uid="{07169215-0BC4-44E9-856D-395AE2C6EBC8}" name="Edad"/>
    <tableColumn id="6" xr3:uid="{F74EB26B-27B2-49FB-9BCC-72F74AE29654}" name="CUIL"/>
    <tableColumn id="7" xr3:uid="{2805789B-91CA-409C-BDAB-62BB352F0D98}" name="G" dataDxfId="6">
      <calculatedColumnFormula>LEFT(Tabla5[[#This Row],[CUIL]],2)</calculatedColumnFormula>
    </tableColumn>
    <tableColumn id="8" xr3:uid="{14DD5C08-8CFD-42C3-BE14-A5CF04E19F9E}" name="ID" dataDxfId="4">
      <calculatedColumnFormula>MID(Tabla5[[#This Row],[CUIL]],4,8)</calculatedColumnFormula>
    </tableColumn>
    <tableColumn id="9" xr3:uid="{C8B77CAE-4CF5-4504-96D2-38F6205616D6}" name="V" dataDxfId="5">
      <calculatedColumnFormula>RIGHT(Tabla5[[#This Row],[CUIL]],1)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158F-7E6E-415D-AB2C-1E38F056A653}">
  <dimension ref="A1:AK12"/>
  <sheetViews>
    <sheetView zoomScale="145" zoomScaleNormal="145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RowHeight="15" x14ac:dyDescent="0.25"/>
  <cols>
    <col min="1" max="1" width="21.85546875" customWidth="1"/>
    <col min="2" max="31" width="4.85546875" customWidth="1"/>
    <col min="32" max="33" width="8.28515625" bestFit="1" customWidth="1"/>
    <col min="34" max="34" width="3.42578125" customWidth="1"/>
    <col min="35" max="35" width="11.85546875" customWidth="1"/>
    <col min="36" max="36" width="5.85546875" customWidth="1"/>
    <col min="37" max="37" width="5.5703125" customWidth="1"/>
    <col min="39" max="39" width="11.85546875" bestFit="1" customWidth="1"/>
  </cols>
  <sheetData>
    <row r="1" spans="1:37" s="2" customFormat="1" ht="45.75" customHeight="1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I1" s="2" t="s">
        <v>38</v>
      </c>
      <c r="AJ1" s="2" t="s">
        <v>35</v>
      </c>
      <c r="AK1" s="2" t="s">
        <v>36</v>
      </c>
    </row>
    <row r="2" spans="1:37" x14ac:dyDescent="0.25">
      <c r="A2" t="s">
        <v>79</v>
      </c>
      <c r="B2" s="1" t="s">
        <v>37</v>
      </c>
      <c r="C2" s="1"/>
      <c r="D2" s="1" t="s">
        <v>37</v>
      </c>
      <c r="E2" s="1" t="s">
        <v>37</v>
      </c>
      <c r="F2" s="1" t="s">
        <v>37</v>
      </c>
      <c r="G2" s="1"/>
      <c r="H2" s="1" t="s">
        <v>37</v>
      </c>
      <c r="I2" t="s">
        <v>37</v>
      </c>
      <c r="J2" t="s">
        <v>37</v>
      </c>
      <c r="K2" t="s">
        <v>37</v>
      </c>
      <c r="M2" s="1"/>
      <c r="N2" s="1" t="s">
        <v>37</v>
      </c>
      <c r="O2" s="1" t="s">
        <v>37</v>
      </c>
      <c r="P2" s="1"/>
      <c r="Q2" s="1" t="s">
        <v>37</v>
      </c>
      <c r="R2" s="1"/>
      <c r="S2" s="1" t="s">
        <v>37</v>
      </c>
      <c r="T2" s="1" t="s">
        <v>37</v>
      </c>
      <c r="U2" s="1" t="s">
        <v>37</v>
      </c>
      <c r="V2" s="1" t="s">
        <v>37</v>
      </c>
      <c r="W2" s="1"/>
      <c r="X2" t="s">
        <v>37</v>
      </c>
      <c r="Y2" t="s">
        <v>37</v>
      </c>
      <c r="Z2" s="1"/>
      <c r="AA2" s="1" t="s">
        <v>37</v>
      </c>
      <c r="AB2" s="1" t="s">
        <v>37</v>
      </c>
      <c r="AC2" s="1" t="s">
        <v>37</v>
      </c>
      <c r="AD2" s="1" t="s">
        <v>37</v>
      </c>
      <c r="AE2" s="1" t="s">
        <v>37</v>
      </c>
      <c r="AF2">
        <f t="shared" ref="AF2:AF8" si="0">COUNTA(B2:AE2)</f>
        <v>22</v>
      </c>
      <c r="AG2">
        <f t="shared" ref="AG2:AG8" si="1">COUNTBLANK(B2:AE2)</f>
        <v>8</v>
      </c>
      <c r="AI2" t="s">
        <v>47</v>
      </c>
      <c r="AJ2">
        <f>MAX(presentismo[asist])</f>
        <v>26</v>
      </c>
      <c r="AK2">
        <f>MAX(presentismo[aus])</f>
        <v>12</v>
      </c>
    </row>
    <row r="3" spans="1:37" x14ac:dyDescent="0.25">
      <c r="A3" t="s">
        <v>1</v>
      </c>
      <c r="B3" s="1"/>
      <c r="C3" s="1" t="s">
        <v>37</v>
      </c>
      <c r="D3" s="1" t="s">
        <v>37</v>
      </c>
      <c r="E3" s="1" t="s">
        <v>37</v>
      </c>
      <c r="F3" s="1"/>
      <c r="G3" s="1" t="s">
        <v>37</v>
      </c>
      <c r="H3" s="1"/>
      <c r="I3" t="s">
        <v>37</v>
      </c>
      <c r="J3" t="s">
        <v>37</v>
      </c>
      <c r="K3" t="s">
        <v>37</v>
      </c>
      <c r="L3" t="s">
        <v>37</v>
      </c>
      <c r="M3" s="1" t="s">
        <v>37</v>
      </c>
      <c r="N3" s="1"/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Y3" t="s">
        <v>37</v>
      </c>
      <c r="Z3" s="1" t="s">
        <v>37</v>
      </c>
      <c r="AA3" s="1" t="s">
        <v>37</v>
      </c>
      <c r="AB3" s="1" t="s">
        <v>37</v>
      </c>
      <c r="AC3" s="1"/>
      <c r="AD3" t="s">
        <v>37</v>
      </c>
      <c r="AE3" t="s">
        <v>37</v>
      </c>
      <c r="AF3">
        <f t="shared" si="0"/>
        <v>24</v>
      </c>
      <c r="AG3">
        <f t="shared" si="1"/>
        <v>6</v>
      </c>
      <c r="AI3" t="s">
        <v>48</v>
      </c>
      <c r="AJ3">
        <f>MIN(presentismo[asist])</f>
        <v>18</v>
      </c>
      <c r="AK3">
        <f>MIN(presentismo[aus])</f>
        <v>5</v>
      </c>
    </row>
    <row r="4" spans="1:37" x14ac:dyDescent="0.25">
      <c r="A4" t="s">
        <v>80</v>
      </c>
      <c r="B4" s="1" t="s">
        <v>37</v>
      </c>
      <c r="C4" s="1"/>
      <c r="D4" s="1" t="s">
        <v>37</v>
      </c>
      <c r="E4" s="1"/>
      <c r="F4" s="1" t="s">
        <v>37</v>
      </c>
      <c r="G4" s="1" t="s">
        <v>37</v>
      </c>
      <c r="H4" s="1" t="s">
        <v>37</v>
      </c>
      <c r="J4" t="s">
        <v>37</v>
      </c>
      <c r="K4" t="s">
        <v>37</v>
      </c>
      <c r="M4" t="s">
        <v>37</v>
      </c>
      <c r="N4" t="s">
        <v>37</v>
      </c>
      <c r="P4" s="1"/>
      <c r="Q4" s="1" t="s">
        <v>37</v>
      </c>
      <c r="R4" s="1"/>
      <c r="S4" s="1" t="s">
        <v>37</v>
      </c>
      <c r="T4" s="1"/>
      <c r="U4" s="1" t="s">
        <v>37</v>
      </c>
      <c r="V4" s="1"/>
      <c r="W4" t="s">
        <v>37</v>
      </c>
      <c r="X4" t="s">
        <v>37</v>
      </c>
      <c r="Y4" s="1" t="s">
        <v>37</v>
      </c>
      <c r="Z4" s="1" t="s">
        <v>37</v>
      </c>
      <c r="AA4" s="1" t="s">
        <v>37</v>
      </c>
      <c r="AB4" s="1" t="s">
        <v>37</v>
      </c>
      <c r="AC4" s="1" t="s">
        <v>37</v>
      </c>
      <c r="AE4" t="s">
        <v>37</v>
      </c>
      <c r="AF4">
        <f t="shared" si="0"/>
        <v>20</v>
      </c>
      <c r="AG4">
        <f t="shared" si="1"/>
        <v>10</v>
      </c>
      <c r="AI4" t="s">
        <v>49</v>
      </c>
      <c r="AJ4" s="5">
        <f>AVERAGE(presentismo[asist])</f>
        <v>21.857142857142858</v>
      </c>
      <c r="AK4" s="5">
        <f>AVERAGE(presentismo[aus])</f>
        <v>8.2857142857142865</v>
      </c>
    </row>
    <row r="5" spans="1:37" x14ac:dyDescent="0.25">
      <c r="A5" t="s">
        <v>2</v>
      </c>
      <c r="B5" t="s">
        <v>37</v>
      </c>
      <c r="C5" t="s">
        <v>37</v>
      </c>
      <c r="E5" t="s">
        <v>37</v>
      </c>
      <c r="F5" s="1" t="s">
        <v>37</v>
      </c>
      <c r="G5" s="1" t="s">
        <v>37</v>
      </c>
      <c r="H5" s="1" t="s">
        <v>37</v>
      </c>
      <c r="I5" s="1"/>
      <c r="J5" s="1" t="s">
        <v>37</v>
      </c>
      <c r="K5" t="s">
        <v>37</v>
      </c>
      <c r="L5" t="s">
        <v>37</v>
      </c>
      <c r="M5" t="s">
        <v>37</v>
      </c>
      <c r="O5" s="1"/>
      <c r="P5" t="s">
        <v>37</v>
      </c>
      <c r="Q5" s="1"/>
      <c r="R5" s="1" t="s">
        <v>37</v>
      </c>
      <c r="S5" s="1" t="s">
        <v>37</v>
      </c>
      <c r="T5" s="1" t="s">
        <v>37</v>
      </c>
      <c r="U5" s="1" t="s">
        <v>37</v>
      </c>
      <c r="V5" s="1" t="s">
        <v>37</v>
      </c>
      <c r="W5" s="1" t="s">
        <v>37</v>
      </c>
      <c r="X5" s="1" t="s">
        <v>37</v>
      </c>
      <c r="Y5" s="1" t="s">
        <v>37</v>
      </c>
      <c r="Z5" s="1"/>
      <c r="AA5" t="s">
        <v>37</v>
      </c>
      <c r="AB5" t="s">
        <v>37</v>
      </c>
      <c r="AC5" t="s">
        <v>37</v>
      </c>
      <c r="AD5" t="s">
        <v>37</v>
      </c>
      <c r="AE5" s="1" t="s">
        <v>37</v>
      </c>
      <c r="AF5">
        <f t="shared" si="0"/>
        <v>24</v>
      </c>
      <c r="AG5">
        <f t="shared" si="1"/>
        <v>6</v>
      </c>
      <c r="AI5" t="s">
        <v>50</v>
      </c>
      <c r="AJ5">
        <f>MEDIAN(presentismo[asist])</f>
        <v>22</v>
      </c>
      <c r="AK5">
        <f>MEDIAN(presentismo[aus])</f>
        <v>8</v>
      </c>
    </row>
    <row r="6" spans="1:37" x14ac:dyDescent="0.25">
      <c r="A6" t="s">
        <v>81</v>
      </c>
      <c r="B6" t="s">
        <v>37</v>
      </c>
      <c r="C6" t="s">
        <v>37</v>
      </c>
      <c r="D6" s="1" t="s">
        <v>37</v>
      </c>
      <c r="E6" s="1" t="s">
        <v>37</v>
      </c>
      <c r="F6" s="1" t="s">
        <v>37</v>
      </c>
      <c r="G6" s="1" t="s">
        <v>37</v>
      </c>
      <c r="H6" s="1"/>
      <c r="I6" s="1" t="s">
        <v>37</v>
      </c>
      <c r="J6" s="1"/>
      <c r="K6" t="s">
        <v>37</v>
      </c>
      <c r="L6" t="s">
        <v>37</v>
      </c>
      <c r="M6" t="s">
        <v>37</v>
      </c>
      <c r="N6" t="s">
        <v>37</v>
      </c>
      <c r="O6" s="1" t="s">
        <v>37</v>
      </c>
      <c r="P6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B6" t="s">
        <v>37</v>
      </c>
      <c r="AD6" t="s">
        <v>37</v>
      </c>
      <c r="AE6" s="1" t="str">
        <f>TRIM(AE7)</f>
        <v/>
      </c>
      <c r="AF6">
        <f t="shared" si="0"/>
        <v>26</v>
      </c>
      <c r="AG6">
        <f t="shared" si="1"/>
        <v>5</v>
      </c>
      <c r="AI6" t="s">
        <v>51</v>
      </c>
      <c r="AJ6">
        <f>MODE(presentismo[asist])</f>
        <v>24</v>
      </c>
      <c r="AK6">
        <f>MODE(presentismo[aus])</f>
        <v>6</v>
      </c>
    </row>
    <row r="7" spans="1:37" x14ac:dyDescent="0.25">
      <c r="A7" t="s">
        <v>3</v>
      </c>
      <c r="B7" t="s">
        <v>37</v>
      </c>
      <c r="C7" t="s">
        <v>37</v>
      </c>
      <c r="D7" s="1" t="s">
        <v>37</v>
      </c>
      <c r="E7" s="1" t="s">
        <v>37</v>
      </c>
      <c r="F7" s="1"/>
      <c r="G7" s="1"/>
      <c r="H7" s="1" t="s">
        <v>37</v>
      </c>
      <c r="I7" s="1" t="s">
        <v>37</v>
      </c>
      <c r="J7" s="1" t="s">
        <v>37</v>
      </c>
      <c r="L7" t="s">
        <v>37</v>
      </c>
      <c r="M7" t="s">
        <v>37</v>
      </c>
      <c r="O7" t="s">
        <v>37</v>
      </c>
      <c r="Q7" s="1"/>
      <c r="R7" s="1" t="s">
        <v>37</v>
      </c>
      <c r="S7" s="1" t="s">
        <v>37</v>
      </c>
      <c r="T7" s="1" t="s">
        <v>37</v>
      </c>
      <c r="U7" s="1" t="s">
        <v>37</v>
      </c>
      <c r="V7" s="1"/>
      <c r="W7" s="1"/>
      <c r="X7" s="1" t="s">
        <v>37</v>
      </c>
      <c r="Y7" s="1"/>
      <c r="Z7" t="s">
        <v>37</v>
      </c>
      <c r="AA7" t="s">
        <v>37</v>
      </c>
      <c r="AB7" s="1" t="s">
        <v>37</v>
      </c>
      <c r="AC7" s="1"/>
      <c r="AD7" s="1" t="s">
        <v>37</v>
      </c>
      <c r="AF7">
        <f t="shared" si="0"/>
        <v>19</v>
      </c>
      <c r="AG7">
        <f t="shared" si="1"/>
        <v>11</v>
      </c>
      <c r="AI7" t="s">
        <v>52</v>
      </c>
      <c r="AJ7">
        <f>COUNT(presentismo[asist])</f>
        <v>7</v>
      </c>
      <c r="AK7">
        <f>COUNT(presentismo[aus])</f>
        <v>7</v>
      </c>
    </row>
    <row r="8" spans="1:37" x14ac:dyDescent="0.25">
      <c r="A8" t="s">
        <v>4</v>
      </c>
      <c r="C8" t="s">
        <v>37</v>
      </c>
      <c r="D8" s="1" t="s">
        <v>37</v>
      </c>
      <c r="E8" s="1"/>
      <c r="F8" s="1" t="s">
        <v>37</v>
      </c>
      <c r="G8" t="s">
        <v>37</v>
      </c>
      <c r="H8" s="1" t="s">
        <v>37</v>
      </c>
      <c r="I8" s="1" t="s">
        <v>37</v>
      </c>
      <c r="J8" s="1"/>
      <c r="K8" t="s">
        <v>37</v>
      </c>
      <c r="M8" t="s">
        <v>37</v>
      </c>
      <c r="O8" t="s">
        <v>37</v>
      </c>
      <c r="Q8" t="s">
        <v>37</v>
      </c>
      <c r="S8" s="1"/>
      <c r="T8" s="1" t="s">
        <v>37</v>
      </c>
      <c r="W8" s="1" t="s">
        <v>37</v>
      </c>
      <c r="X8" s="1" t="s">
        <v>37</v>
      </c>
      <c r="Y8" s="1" t="s">
        <v>37</v>
      </c>
      <c r="AA8" t="s">
        <v>37</v>
      </c>
      <c r="AB8" s="1"/>
      <c r="AC8" s="1" t="s">
        <v>37</v>
      </c>
      <c r="AD8" s="1" t="s">
        <v>37</v>
      </c>
      <c r="AE8" s="1" t="s">
        <v>37</v>
      </c>
      <c r="AF8">
        <f t="shared" si="0"/>
        <v>18</v>
      </c>
      <c r="AG8">
        <f t="shared" si="1"/>
        <v>12</v>
      </c>
      <c r="AI8" t="s">
        <v>53</v>
      </c>
      <c r="AJ8">
        <f>SUM(presentismo[asist])</f>
        <v>153</v>
      </c>
      <c r="AK8">
        <f>SUM(presentismo[aus])</f>
        <v>58</v>
      </c>
    </row>
    <row r="9" spans="1:37" x14ac:dyDescent="0.25">
      <c r="A9">
        <f>COUNTA(presentismo[Empleado])</f>
        <v>7</v>
      </c>
      <c r="B9">
        <f>COUNTBLANK(presentismo[1/9/22])</f>
        <v>2</v>
      </c>
      <c r="C9">
        <f>COUNTBLANK(presentismo[2/9/22])</f>
        <v>2</v>
      </c>
      <c r="D9">
        <f>COUNTBLANK(presentismo[3/9/22])</f>
        <v>1</v>
      </c>
      <c r="E9">
        <f>COUNTBLANK(presentismo[4/9/22])</f>
        <v>2</v>
      </c>
      <c r="F9">
        <f>COUNTBLANK(presentismo[5/9/22])</f>
        <v>2</v>
      </c>
      <c r="G9">
        <f>COUNTBLANK(presentismo[6/9/22])</f>
        <v>2</v>
      </c>
      <c r="H9">
        <f>COUNTBLANK(presentismo[7/9/22])</f>
        <v>2</v>
      </c>
      <c r="I9">
        <f>COUNTBLANK(presentismo[8/9/22])</f>
        <v>2</v>
      </c>
      <c r="J9">
        <f>COUNTBLANK(presentismo[9/9/22])</f>
        <v>2</v>
      </c>
      <c r="K9">
        <f>COUNTBLANK(presentismo[10/9/22])</f>
        <v>1</v>
      </c>
      <c r="L9">
        <f>COUNTBLANK(presentismo[11/9/22])</f>
        <v>3</v>
      </c>
      <c r="M9">
        <f>COUNTBLANK(presentismo[12/9/22])</f>
        <v>1</v>
      </c>
      <c r="N9">
        <f>COUNTBLANK(presentismo[13/9/22])</f>
        <v>4</v>
      </c>
      <c r="O9">
        <f>COUNTBLANK(presentismo[14/9/22])</f>
        <v>2</v>
      </c>
      <c r="P9">
        <f>COUNTBLANK(presentismo[15/9/22])</f>
        <v>4</v>
      </c>
      <c r="Q9">
        <f>COUNTBLANK(presentismo[16/9/22])</f>
        <v>2</v>
      </c>
      <c r="R9">
        <f>COUNTBLANK(presentismo[17/9/22])</f>
        <v>3</v>
      </c>
      <c r="S9">
        <f>COUNTBLANK(presentismo[18/9/22])</f>
        <v>1</v>
      </c>
      <c r="T9">
        <f>COUNTBLANK(presentismo[19/9/22])</f>
        <v>1</v>
      </c>
      <c r="U9">
        <f>COUNTBLANK(presentismo[20/9/22])</f>
        <v>1</v>
      </c>
      <c r="V9">
        <f>COUNTBLANK(presentismo[21/9/22])</f>
        <v>3</v>
      </c>
      <c r="W9">
        <f>COUNTBLANK(presentismo[22/9/22])</f>
        <v>2</v>
      </c>
      <c r="X9">
        <f>COUNTBLANK(presentismo[23/9/22])</f>
        <v>1</v>
      </c>
      <c r="Y9">
        <f>COUNTBLANK(presentismo[24/9/22])</f>
        <v>1</v>
      </c>
      <c r="Z9">
        <f>COUNTBLANK(presentismo[25/9/22])</f>
        <v>3</v>
      </c>
      <c r="AA9">
        <f>COUNTBLANK(presentismo[26/9/22])</f>
        <v>1</v>
      </c>
      <c r="AB9">
        <f>COUNTBLANK(presentismo[27/9/22])</f>
        <v>1</v>
      </c>
      <c r="AC9">
        <f>COUNTBLANK(presentismo[28/9/22])</f>
        <v>3</v>
      </c>
      <c r="AD9">
        <f>COUNTBLANK(presentismo[29/9/22])</f>
        <v>1</v>
      </c>
      <c r="AE9">
        <f>COUNTBLANK(presentismo[30/9/22])</f>
        <v>2</v>
      </c>
      <c r="AF9">
        <f>SUBTOTAL(109,presentismo[asist])</f>
        <v>153</v>
      </c>
      <c r="AG9">
        <f>SUBTOTAL(109,presentismo[aus])</f>
        <v>58</v>
      </c>
    </row>
    <row r="10" spans="1:37" x14ac:dyDescent="0.25">
      <c r="AF10" s="4"/>
      <c r="AG10" s="4"/>
    </row>
    <row r="11" spans="1:37" x14ac:dyDescent="0.25">
      <c r="AF11" s="4"/>
      <c r="AG11" s="4"/>
    </row>
    <row r="12" spans="1:37" x14ac:dyDescent="0.25">
      <c r="AF12" s="4"/>
      <c r="AG12" s="4"/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3380-975D-48C5-88E7-EB8DA010B416}">
  <dimension ref="A1:J16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3" sqref="G13"/>
    </sheetView>
  </sheetViews>
  <sheetFormatPr baseColWidth="10" defaultRowHeight="15" x14ac:dyDescent="0.25"/>
  <cols>
    <col min="1" max="1" width="10.140625" bestFit="1" customWidth="1"/>
    <col min="2" max="2" width="15.42578125" bestFit="1" customWidth="1"/>
    <col min="3" max="3" width="2.5703125" customWidth="1"/>
    <col min="4" max="4" width="5.42578125" bestFit="1" customWidth="1"/>
    <col min="5" max="5" width="11.42578125" bestFit="1" customWidth="1"/>
    <col min="6" max="6" width="13.140625" bestFit="1" customWidth="1"/>
    <col min="7" max="8" width="15.42578125" bestFit="1" customWidth="1"/>
    <col min="9" max="9" width="13.7109375" bestFit="1" customWidth="1"/>
    <col min="10" max="10" width="15.42578125" bestFit="1" customWidth="1"/>
  </cols>
  <sheetData>
    <row r="1" spans="1:10" x14ac:dyDescent="0.25">
      <c r="A1" t="s">
        <v>45</v>
      </c>
      <c r="B1" s="7">
        <v>0.21</v>
      </c>
      <c r="D1" t="s">
        <v>56</v>
      </c>
      <c r="E1" s="12" t="s">
        <v>43</v>
      </c>
      <c r="F1" s="12" t="s">
        <v>41</v>
      </c>
      <c r="G1" s="12" t="s">
        <v>44</v>
      </c>
      <c r="H1" s="12" t="s">
        <v>42</v>
      </c>
      <c r="I1" s="12" t="s">
        <v>46</v>
      </c>
      <c r="J1" s="12" t="s">
        <v>54</v>
      </c>
    </row>
    <row r="2" spans="1:10" x14ac:dyDescent="0.25">
      <c r="A2" t="s">
        <v>42</v>
      </c>
      <c r="B2" s="8">
        <f>SUM(ventas[final])</f>
        <v>5782396.3274000008</v>
      </c>
      <c r="D2">
        <v>1</v>
      </c>
      <c r="E2" s="9">
        <v>10</v>
      </c>
      <c r="F2" s="9">
        <v>2</v>
      </c>
      <c r="G2" s="10">
        <v>5600</v>
      </c>
      <c r="H2" s="11">
        <f>ventas[[#This Row],[cantidad]]*ventas[[#This Row],[precio]]</f>
        <v>11200</v>
      </c>
      <c r="I2" s="11">
        <f>ventas[[#This Row],[total]]*IVA</f>
        <v>2352</v>
      </c>
      <c r="J2" s="11">
        <f>ventas[[#This Row],[total]]+ventas[[#This Row],[valor iva]]</f>
        <v>13552</v>
      </c>
    </row>
    <row r="3" spans="1:10" x14ac:dyDescent="0.25">
      <c r="A3" t="s">
        <v>55</v>
      </c>
      <c r="B3">
        <f>COUNT(ventas[codigo])</f>
        <v>15</v>
      </c>
      <c r="D3">
        <v>2</v>
      </c>
      <c r="E3" s="9">
        <v>30</v>
      </c>
      <c r="F3" s="9">
        <v>3</v>
      </c>
      <c r="G3" s="10">
        <v>25399.99</v>
      </c>
      <c r="H3" s="11">
        <f>ventas[[#This Row],[cantidad]]*ventas[[#This Row],[precio]]</f>
        <v>76199.97</v>
      </c>
      <c r="I3" s="11">
        <f>ventas[[#This Row],[total]]*IVA</f>
        <v>16001.993699999999</v>
      </c>
      <c r="J3" s="11">
        <f>ventas[[#This Row],[total]]+ventas[[#This Row],[valor iva]]</f>
        <v>92201.963699999993</v>
      </c>
    </row>
    <row r="4" spans="1:10" x14ac:dyDescent="0.25">
      <c r="A4" t="s">
        <v>59</v>
      </c>
      <c r="B4">
        <f>MAX(ventas[cantidad])</f>
        <v>34</v>
      </c>
      <c r="D4">
        <v>3</v>
      </c>
      <c r="E4" s="9">
        <v>20</v>
      </c>
      <c r="F4" s="9">
        <v>5</v>
      </c>
      <c r="G4" s="10">
        <v>65480</v>
      </c>
      <c r="H4" s="11">
        <f>ventas[[#This Row],[cantidad]]*ventas[[#This Row],[precio]]</f>
        <v>327400</v>
      </c>
      <c r="I4" s="11">
        <f>ventas[[#This Row],[total]]*IVA</f>
        <v>68754</v>
      </c>
      <c r="J4" s="11">
        <f>ventas[[#This Row],[total]]+ventas[[#This Row],[valor iva]]</f>
        <v>396154</v>
      </c>
    </row>
    <row r="5" spans="1:10" x14ac:dyDescent="0.25">
      <c r="A5" t="s">
        <v>60</v>
      </c>
      <c r="B5">
        <f>MODE(ventas[codigo])</f>
        <v>10</v>
      </c>
      <c r="D5">
        <v>4</v>
      </c>
      <c r="E5" s="9">
        <v>10</v>
      </c>
      <c r="F5" s="9">
        <v>7</v>
      </c>
      <c r="G5" s="10">
        <v>5600</v>
      </c>
      <c r="H5" s="11">
        <f>ventas[[#This Row],[cantidad]]*ventas[[#This Row],[precio]]</f>
        <v>39200</v>
      </c>
      <c r="I5" s="11">
        <f>ventas[[#This Row],[total]]*IVA</f>
        <v>8232</v>
      </c>
      <c r="J5" s="11">
        <f>ventas[[#This Row],[total]]+ventas[[#This Row],[valor iva]]</f>
        <v>47432</v>
      </c>
    </row>
    <row r="6" spans="1:10" x14ac:dyDescent="0.25">
      <c r="A6" t="s">
        <v>58</v>
      </c>
      <c r="B6" s="6">
        <f>MAX(ventas[total])</f>
        <v>2097152</v>
      </c>
      <c r="D6">
        <v>5</v>
      </c>
      <c r="E6" s="9">
        <v>10</v>
      </c>
      <c r="F6" s="9">
        <v>34</v>
      </c>
      <c r="G6" s="10">
        <v>5600</v>
      </c>
      <c r="H6" s="11">
        <f>ventas[[#This Row],[cantidad]]*ventas[[#This Row],[precio]]</f>
        <v>190400</v>
      </c>
      <c r="I6" s="11">
        <f>ventas[[#This Row],[total]]*IVA</f>
        <v>39984</v>
      </c>
      <c r="J6" s="11">
        <f>ventas[[#This Row],[total]]+ventas[[#This Row],[valor iva]]</f>
        <v>230384</v>
      </c>
    </row>
    <row r="7" spans="1:10" x14ac:dyDescent="0.25">
      <c r="A7" t="s">
        <v>57</v>
      </c>
      <c r="B7" s="6">
        <f>MIN(ventas[total])</f>
        <v>8192</v>
      </c>
      <c r="D7">
        <v>6</v>
      </c>
      <c r="E7" s="9">
        <v>20</v>
      </c>
      <c r="F7" s="9">
        <v>12</v>
      </c>
      <c r="G7" s="10">
        <v>65480</v>
      </c>
      <c r="H7" s="11">
        <f>ventas[[#This Row],[cantidad]]*ventas[[#This Row],[precio]]</f>
        <v>785760</v>
      </c>
      <c r="I7" s="11">
        <f>ventas[[#This Row],[total]]*IVA</f>
        <v>165009.60000000001</v>
      </c>
      <c r="J7" s="11">
        <f>ventas[[#This Row],[total]]+ventas[[#This Row],[valor iva]]</f>
        <v>950769.6</v>
      </c>
    </row>
    <row r="8" spans="1:10" x14ac:dyDescent="0.25">
      <c r="A8" t="s">
        <v>39</v>
      </c>
      <c r="B8" s="6">
        <f>AVERAGE(ventas[total])</f>
        <v>318589.3293333333</v>
      </c>
      <c r="D8">
        <v>7</v>
      </c>
      <c r="E8" s="9">
        <v>26</v>
      </c>
      <c r="F8" s="9">
        <v>4</v>
      </c>
      <c r="G8" s="10">
        <v>4096</v>
      </c>
      <c r="H8" s="11">
        <f>ventas[[#This Row],[cantidad]]*ventas[[#This Row],[precio]]</f>
        <v>16384</v>
      </c>
      <c r="I8" s="11">
        <f>ventas[[#This Row],[total]]*IVA</f>
        <v>3440.64</v>
      </c>
      <c r="J8" s="11">
        <f>ventas[[#This Row],[total]]+ventas[[#This Row],[valor iva]]</f>
        <v>19824.64</v>
      </c>
    </row>
    <row r="9" spans="1:10" x14ac:dyDescent="0.25">
      <c r="A9" t="s">
        <v>40</v>
      </c>
      <c r="B9" s="6">
        <f>MEDIAN(ventas[total])</f>
        <v>81920</v>
      </c>
      <c r="D9">
        <v>8</v>
      </c>
      <c r="E9" s="9">
        <v>40</v>
      </c>
      <c r="F9" s="9">
        <v>8</v>
      </c>
      <c r="G9" s="10">
        <v>32768</v>
      </c>
      <c r="H9" s="11">
        <f>ventas[[#This Row],[cantidad]]*ventas[[#This Row],[precio]]</f>
        <v>262144</v>
      </c>
      <c r="I9" s="11">
        <f>ventas[[#This Row],[total]]*IVA</f>
        <v>55050.239999999998</v>
      </c>
      <c r="J9" s="11">
        <f>ventas[[#This Row],[total]]+ventas[[#This Row],[valor iva]]</f>
        <v>317194.23999999999</v>
      </c>
    </row>
    <row r="10" spans="1:10" x14ac:dyDescent="0.25">
      <c r="D10">
        <v>9</v>
      </c>
      <c r="E10" s="9">
        <v>12</v>
      </c>
      <c r="F10" s="9">
        <v>2</v>
      </c>
      <c r="G10" s="10">
        <v>1048576</v>
      </c>
      <c r="H10" s="11">
        <f>ventas[[#This Row],[cantidad]]*ventas[[#This Row],[precio]]</f>
        <v>2097152</v>
      </c>
      <c r="I10" s="11">
        <f>ventas[[#This Row],[total]]*IVA</f>
        <v>440401.91999999998</v>
      </c>
      <c r="J10" s="11">
        <f>ventas[[#This Row],[total]]+ventas[[#This Row],[valor iva]]</f>
        <v>2537553.9199999999</v>
      </c>
    </row>
    <row r="11" spans="1:10" x14ac:dyDescent="0.25">
      <c r="D11">
        <v>10</v>
      </c>
      <c r="E11" s="9">
        <v>15</v>
      </c>
      <c r="F11" s="9">
        <v>5</v>
      </c>
      <c r="G11" s="10">
        <v>16384</v>
      </c>
      <c r="H11" s="11">
        <f>ventas[[#This Row],[cantidad]]*ventas[[#This Row],[precio]]</f>
        <v>81920</v>
      </c>
      <c r="I11" s="11">
        <f>ventas[[#This Row],[total]]*IVA</f>
        <v>17203.2</v>
      </c>
      <c r="J11" s="11">
        <f>ventas[[#This Row],[total]]+ventas[[#This Row],[valor iva]]</f>
        <v>99123.199999999997</v>
      </c>
    </row>
    <row r="12" spans="1:10" x14ac:dyDescent="0.25">
      <c r="D12">
        <v>11</v>
      </c>
      <c r="E12" s="9">
        <v>25</v>
      </c>
      <c r="F12" s="9">
        <v>1</v>
      </c>
      <c r="G12" s="10">
        <v>8192</v>
      </c>
      <c r="H12" s="11">
        <f>ventas[[#This Row],[cantidad]]*ventas[[#This Row],[precio]]</f>
        <v>8192</v>
      </c>
      <c r="I12" s="11">
        <f>ventas[[#This Row],[total]]*IVA</f>
        <v>1720.32</v>
      </c>
      <c r="J12" s="11">
        <f>ventas[[#This Row],[total]]+ventas[[#This Row],[valor iva]]</f>
        <v>9912.32</v>
      </c>
    </row>
    <row r="13" spans="1:10" x14ac:dyDescent="0.25">
      <c r="D13">
        <v>12</v>
      </c>
      <c r="E13" s="9">
        <v>30</v>
      </c>
      <c r="F13" s="9">
        <v>3</v>
      </c>
      <c r="G13" s="10">
        <v>25399.99</v>
      </c>
      <c r="H13" s="11">
        <f>ventas[[#This Row],[cantidad]]*ventas[[#This Row],[precio]]</f>
        <v>76199.97</v>
      </c>
      <c r="I13" s="11">
        <f>ventas[[#This Row],[total]]*IVA</f>
        <v>16001.993699999999</v>
      </c>
      <c r="J13" s="11">
        <f>ventas[[#This Row],[total]]+ventas[[#This Row],[valor iva]]</f>
        <v>92201.963699999993</v>
      </c>
    </row>
    <row r="14" spans="1:10" x14ac:dyDescent="0.25">
      <c r="D14">
        <v>13</v>
      </c>
      <c r="E14" s="9">
        <v>33</v>
      </c>
      <c r="F14" s="9">
        <v>8</v>
      </c>
      <c r="G14" s="10">
        <v>65536</v>
      </c>
      <c r="H14" s="11">
        <f>ventas[[#This Row],[cantidad]]*ventas[[#This Row],[precio]]</f>
        <v>524288</v>
      </c>
      <c r="I14" s="11">
        <f>ventas[[#This Row],[total]]*IVA</f>
        <v>110100.48</v>
      </c>
      <c r="J14" s="11">
        <f>ventas[[#This Row],[total]]+ventas[[#This Row],[valor iva]]</f>
        <v>634388.47999999998</v>
      </c>
    </row>
    <row r="15" spans="1:10" x14ac:dyDescent="0.25">
      <c r="D15">
        <v>14</v>
      </c>
      <c r="E15" s="13">
        <v>20</v>
      </c>
      <c r="F15" s="13">
        <v>4</v>
      </c>
      <c r="G15" s="14">
        <v>65480</v>
      </c>
      <c r="H15" s="15">
        <f>ventas[[#This Row],[cantidad]]*ventas[[#This Row],[precio]]</f>
        <v>261920</v>
      </c>
      <c r="I15" s="15">
        <f>ventas[[#This Row],[total]]*IVA</f>
        <v>55003.199999999997</v>
      </c>
      <c r="J15" s="15">
        <f>ventas[[#This Row],[total]]+ventas[[#This Row],[valor iva]]</f>
        <v>316923.2</v>
      </c>
    </row>
    <row r="16" spans="1:10" x14ac:dyDescent="0.25">
      <c r="D16" s="13">
        <v>15</v>
      </c>
      <c r="E16" s="13">
        <v>26</v>
      </c>
      <c r="F16" s="13">
        <v>5</v>
      </c>
      <c r="G16" s="14">
        <v>4096</v>
      </c>
      <c r="H16" s="15">
        <f>ventas[[#This Row],[cantidad]]*ventas[[#This Row],[precio]]</f>
        <v>20480</v>
      </c>
      <c r="I16" s="15">
        <f>ventas[[#This Row],[total]]*IVA</f>
        <v>4300.8</v>
      </c>
      <c r="J16" s="15">
        <f>ventas[[#This Row],[total]]+ventas[[#This Row],[valor iva]]</f>
        <v>24780.799999999999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46FC-82A8-41CA-871F-23683B80785F}">
  <dimension ref="A1:N10"/>
  <sheetViews>
    <sheetView tabSelected="1" zoomScale="145" zoomScaleNormal="145" workbookViewId="0">
      <selection activeCell="G2" sqref="G2"/>
    </sheetView>
  </sheetViews>
  <sheetFormatPr baseColWidth="10" defaultRowHeight="15" x14ac:dyDescent="0.25"/>
  <cols>
    <col min="1" max="1" width="0.140625" customWidth="1"/>
    <col min="2" max="2" width="14.7109375" bestFit="1" customWidth="1"/>
    <col min="3" max="3" width="14.85546875" bestFit="1" customWidth="1"/>
    <col min="4" max="5" width="0.85546875" hidden="1" customWidth="1"/>
    <col min="6" max="6" width="13.5703125" bestFit="1" customWidth="1"/>
    <col min="7" max="7" width="7.5703125" bestFit="1" customWidth="1"/>
    <col min="8" max="8" width="14" bestFit="1" customWidth="1"/>
    <col min="9" max="9" width="4.7109375" bestFit="1" customWidth="1"/>
    <col min="10" max="10" width="9.5703125" bestFit="1" customWidth="1"/>
    <col min="11" max="11" width="4.5703125" bestFit="1" customWidth="1"/>
  </cols>
  <sheetData>
    <row r="1" spans="1:14" x14ac:dyDescent="0.25">
      <c r="A1" t="s">
        <v>0</v>
      </c>
      <c r="B1" t="s">
        <v>62</v>
      </c>
      <c r="C1" t="s">
        <v>61</v>
      </c>
      <c r="D1" t="s">
        <v>77</v>
      </c>
      <c r="E1" t="s">
        <v>76</v>
      </c>
      <c r="F1" t="s">
        <v>63</v>
      </c>
      <c r="G1" t="s">
        <v>64</v>
      </c>
      <c r="H1" t="s">
        <v>65</v>
      </c>
      <c r="I1" t="s">
        <v>68</v>
      </c>
      <c r="J1" t="s">
        <v>67</v>
      </c>
      <c r="K1" t="s">
        <v>69</v>
      </c>
      <c r="M1" t="s">
        <v>77</v>
      </c>
      <c r="N1" t="s">
        <v>78</v>
      </c>
    </row>
    <row r="2" spans="1:14" x14ac:dyDescent="0.25">
      <c r="A2" t="str">
        <f>presentismo[[#This Row],[Empleado]]</f>
        <v>Cristian Damian,Racedo</v>
      </c>
      <c r="B2" t="str">
        <f>TRIM(RIGHT(Tabla5[[#This Row],[Empleado]],Tabla5[[#This Row],[largo]] - (Tabla5[[#This Row],[separador]] )))</f>
        <v>Racedo</v>
      </c>
      <c r="C2" t="str">
        <f>TRIM(LEFT(Tabla5[[#This Row],[Empleado]],Tabla5[[#This Row],[separador]] - 1))</f>
        <v>Cristian Damian</v>
      </c>
      <c r="D2">
        <f>FIND(char,Tabla5[[#This Row],[Empleado]])</f>
        <v>16</v>
      </c>
      <c r="E2">
        <f>LEN(Tabla5[[#This Row],[Empleado]])</f>
        <v>22</v>
      </c>
      <c r="F2" s="16">
        <v>33346</v>
      </c>
      <c r="H2" t="s">
        <v>66</v>
      </c>
      <c r="I2" t="str">
        <f>LEFT(Tabla5[[#This Row],[CUIL]],2)</f>
        <v>20</v>
      </c>
      <c r="J2" t="str">
        <f>MID(Tabla5[[#This Row],[CUIL]],4,8)</f>
        <v>35336446</v>
      </c>
      <c r="K2" t="str">
        <f>RIGHT(Tabla5[[#This Row],[CUIL]],1)</f>
        <v>5</v>
      </c>
    </row>
    <row r="3" spans="1:14" x14ac:dyDescent="0.25">
      <c r="A3" t="str">
        <f>presentismo[[#This Row],[Empleado]]</f>
        <v>Martinez, Mariano</v>
      </c>
      <c r="B3" t="str">
        <f>TRIM(RIGHT(Tabla5[[#This Row],[Empleado]],Tabla5[[#This Row],[largo]] - (Tabla5[[#This Row],[separador]] )))</f>
        <v>Mariano</v>
      </c>
      <c r="C3" t="str">
        <f>TRIM(LEFT(Tabla5[[#This Row],[Empleado]],Tabla5[[#This Row],[separador]] - 1))</f>
        <v>Martinez</v>
      </c>
      <c r="D3">
        <f>FIND(char,Tabla5[[#This Row],[Empleado]])</f>
        <v>9</v>
      </c>
      <c r="E3">
        <f>LEN(Tabla5[[#This Row],[Empleado]])</f>
        <v>17</v>
      </c>
      <c r="H3" t="s">
        <v>75</v>
      </c>
      <c r="I3" t="str">
        <f>LEFT(Tabla5[[#This Row],[CUIL]],2)</f>
        <v>20</v>
      </c>
      <c r="J3" t="str">
        <f>MID(Tabla5[[#This Row],[CUIL]],4,8)</f>
        <v>24717271</v>
      </c>
      <c r="K3" t="str">
        <f>RIGHT(Tabla5[[#This Row],[CUIL]],1)</f>
        <v>9</v>
      </c>
    </row>
    <row r="4" spans="1:14" x14ac:dyDescent="0.25">
      <c r="A4" t="str">
        <f>presentismo[[#This Row],[Empleado]]</f>
        <v>Belen,    Tambella</v>
      </c>
      <c r="B4" t="str">
        <f>TRIM(RIGHT(Tabla5[[#This Row],[Empleado]],Tabla5[[#This Row],[largo]] - (Tabla5[[#This Row],[separador]] )))</f>
        <v>Tambella</v>
      </c>
      <c r="C4" t="str">
        <f>TRIM(LEFT(Tabla5[[#This Row],[Empleado]],Tabla5[[#This Row],[separador]] - 1))</f>
        <v>Belen</v>
      </c>
      <c r="D4">
        <f>FIND(char,Tabla5[[#This Row],[Empleado]])</f>
        <v>6</v>
      </c>
      <c r="E4">
        <f>LEN(Tabla5[[#This Row],[Empleado]])</f>
        <v>18</v>
      </c>
      <c r="H4" t="s">
        <v>70</v>
      </c>
      <c r="I4" t="str">
        <f>LEFT(Tabla5[[#This Row],[CUIL]],2)</f>
        <v>27</v>
      </c>
      <c r="J4" t="str">
        <f>MID(Tabla5[[#This Row],[CUIL]],4,8)</f>
        <v>36806507</v>
      </c>
      <c r="K4" t="str">
        <f>RIGHT(Tabla5[[#This Row],[CUIL]],1)</f>
        <v>1</v>
      </c>
    </row>
    <row r="5" spans="1:14" x14ac:dyDescent="0.25">
      <c r="A5" t="str">
        <f>presentismo[[#This Row],[Empleado]]</f>
        <v>Francisca, Casas</v>
      </c>
      <c r="B5" t="str">
        <f>TRIM(RIGHT(Tabla5[[#This Row],[Empleado]],Tabla5[[#This Row],[largo]] - (Tabla5[[#This Row],[separador]] )))</f>
        <v>Casas</v>
      </c>
      <c r="C5" t="str">
        <f>TRIM(LEFT(Tabla5[[#This Row],[Empleado]],Tabla5[[#This Row],[separador]] - 1))</f>
        <v>Francisca</v>
      </c>
      <c r="D5">
        <f>FIND(char,Tabla5[[#This Row],[Empleado]])</f>
        <v>10</v>
      </c>
      <c r="E5">
        <f>LEN(Tabla5[[#This Row],[Empleado]])</f>
        <v>16</v>
      </c>
      <c r="H5" t="s">
        <v>73</v>
      </c>
      <c r="I5" t="str">
        <f>LEFT(Tabla5[[#This Row],[CUIL]],2)</f>
        <v>27</v>
      </c>
      <c r="J5" t="str">
        <f>MID(Tabla5[[#This Row],[CUIL]],4,8)</f>
        <v>94975900</v>
      </c>
      <c r="K5" t="str">
        <f>RIGHT(Tabla5[[#This Row],[CUIL]],1)</f>
        <v>3</v>
      </c>
    </row>
    <row r="6" spans="1:14" x14ac:dyDescent="0.25">
      <c r="A6" t="str">
        <f>presentismo[[#This Row],[Empleado]]</f>
        <v>Romina,  Gurruchaga</v>
      </c>
      <c r="B6" t="str">
        <f>TRIM(RIGHT(Tabla5[[#This Row],[Empleado]],Tabla5[[#This Row],[largo]] - (Tabla5[[#This Row],[separador]] )))</f>
        <v>Gurruchaga</v>
      </c>
      <c r="C6" t="str">
        <f>TRIM(LEFT(Tabla5[[#This Row],[Empleado]],Tabla5[[#This Row],[separador]] - 1))</f>
        <v>Romina</v>
      </c>
      <c r="D6">
        <f>FIND(char,Tabla5[[#This Row],[Empleado]])</f>
        <v>7</v>
      </c>
      <c r="E6">
        <f>LEN(Tabla5[[#This Row],[Empleado]])</f>
        <v>19</v>
      </c>
      <c r="H6" t="s">
        <v>74</v>
      </c>
      <c r="I6" t="str">
        <f>LEFT(Tabla5[[#This Row],[CUIL]],2)</f>
        <v>27</v>
      </c>
      <c r="J6" t="str">
        <f>MID(Tabla5[[#This Row],[CUIL]],4,8)</f>
        <v>36873001</v>
      </c>
      <c r="K6" t="str">
        <f>RIGHT(Tabla5[[#This Row],[CUIL]],1)</f>
        <v>7</v>
      </c>
    </row>
    <row r="7" spans="1:14" x14ac:dyDescent="0.25">
      <c r="A7" t="str">
        <f>presentismo[[#This Row],[Empleado]]</f>
        <v>Juan, Perez</v>
      </c>
      <c r="B7" t="str">
        <f>TRIM(RIGHT(Tabla5[[#This Row],[Empleado]],Tabla5[[#This Row],[largo]] - (Tabla5[[#This Row],[separador]] )))</f>
        <v>Perez</v>
      </c>
      <c r="C7" t="str">
        <f>TRIM(LEFT(Tabla5[[#This Row],[Empleado]],Tabla5[[#This Row],[separador]] - 1))</f>
        <v>Juan</v>
      </c>
      <c r="D7">
        <f>FIND(char,Tabla5[[#This Row],[Empleado]])</f>
        <v>5</v>
      </c>
      <c r="E7">
        <f>LEN(Tabla5[[#This Row],[Empleado]])</f>
        <v>11</v>
      </c>
      <c r="H7" t="s">
        <v>71</v>
      </c>
      <c r="I7" t="str">
        <f>LEFT(Tabla5[[#This Row],[CUIL]],2)</f>
        <v>20</v>
      </c>
      <c r="J7" t="str">
        <f>MID(Tabla5[[#This Row],[CUIL]],4,8)</f>
        <v>27423190</v>
      </c>
      <c r="K7" t="str">
        <f>RIGHT(Tabla5[[#This Row],[CUIL]],1)</f>
        <v>3</v>
      </c>
    </row>
    <row r="8" spans="1:14" x14ac:dyDescent="0.25">
      <c r="A8" t="str">
        <f>presentismo[[#This Row],[Empleado]]</f>
        <v>Gonzalez, Gonzalo</v>
      </c>
      <c r="B8" t="str">
        <f>TRIM(RIGHT(Tabla5[[#This Row],[Empleado]],Tabla5[[#This Row],[largo]] - (Tabla5[[#This Row],[separador]] )))</f>
        <v>Gonzalo</v>
      </c>
      <c r="C8" t="str">
        <f>TRIM(LEFT(Tabla5[[#This Row],[Empleado]],Tabla5[[#This Row],[separador]] - 1))</f>
        <v>Gonzalez</v>
      </c>
      <c r="D8">
        <f>FIND(char,Tabla5[[#This Row],[Empleado]])</f>
        <v>9</v>
      </c>
      <c r="E8">
        <f>LEN(Tabla5[[#This Row],[Empleado]])</f>
        <v>17</v>
      </c>
      <c r="H8" t="s">
        <v>72</v>
      </c>
      <c r="I8" t="str">
        <f>LEFT(Tabla5[[#This Row],[CUIL]],2)</f>
        <v>20</v>
      </c>
      <c r="J8" t="str">
        <f>MID(Tabla5[[#This Row],[CUIL]],4,8)</f>
        <v>12839481</v>
      </c>
      <c r="K8" t="str">
        <f>RIGHT(Tabla5[[#This Row],[CUIL]],1)</f>
        <v>2</v>
      </c>
    </row>
    <row r="9" spans="1:14" x14ac:dyDescent="0.25">
      <c r="A9" s="4" t="s">
        <v>82</v>
      </c>
      <c r="B9" s="4" t="str">
        <f>TRIM(RIGHT(Tabla5[[#This Row],[Empleado]],Tabla5[[#This Row],[largo]] - (Tabla5[[#This Row],[separador]] )))</f>
        <v>Miguel</v>
      </c>
      <c r="C9" s="4" t="str">
        <f>TRIM(LEFT(Tabla5[[#This Row],[Empleado]],Tabla5[[#This Row],[separador]] - 1))</f>
        <v>De la Cruz</v>
      </c>
      <c r="D9" s="4">
        <f>FIND(char,Tabla5[[#This Row],[Empleado]])</f>
        <v>11</v>
      </c>
      <c r="E9" s="4">
        <f>LEN(Tabla5[[#This Row],[Empleado]])</f>
        <v>18</v>
      </c>
      <c r="I9" s="4" t="str">
        <f>LEFT(Tabla5[[#This Row],[CUIL]],2)</f>
        <v/>
      </c>
      <c r="J9" s="4" t="str">
        <f>MID(Tabla5[[#This Row],[CUIL]],4,8)</f>
        <v/>
      </c>
      <c r="K9" s="4" t="str">
        <f>RIGHT(Tabla5[[#This Row],[CUIL]],1)</f>
        <v/>
      </c>
    </row>
    <row r="10" spans="1:14" x14ac:dyDescent="0.25">
      <c r="A10" s="4" t="s">
        <v>83</v>
      </c>
      <c r="B10" s="4" t="str">
        <f>TRIM(RIGHT(Tabla5[[#This Row],[Empleado]],Tabla5[[#This Row],[largo]] - (Tabla5[[#This Row],[separador]] )))</f>
        <v>Joan</v>
      </c>
      <c r="C10" s="4" t="str">
        <f>TRIM(LEFT(Tabla5[[#This Row],[Empleado]],Tabla5[[#This Row],[separador]] - 1))</f>
        <v>d'Arc</v>
      </c>
      <c r="D10" s="4">
        <f>FIND(char,Tabla5[[#This Row],[Empleado]])</f>
        <v>6</v>
      </c>
      <c r="E10" s="4">
        <f>LEN(Tabla5[[#This Row],[Empleado]])</f>
        <v>11</v>
      </c>
      <c r="I10" s="4" t="str">
        <f>LEFT(Tabla5[[#This Row],[CUIL]],2)</f>
        <v/>
      </c>
      <c r="J10" s="4" t="str">
        <f>MID(Tabla5[[#This Row],[CUIL]],4,8)</f>
        <v/>
      </c>
      <c r="K10" s="4" t="str">
        <f>RIGHT(Tabla5[[#This Row],[CUIL]],1)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presentismo</vt:lpstr>
      <vt:lpstr>ventas</vt:lpstr>
      <vt:lpstr>datos</vt:lpstr>
      <vt:lpstr>char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2022-10-19T19:31:35Z</dcterms:created>
  <dcterms:modified xsi:type="dcterms:W3CDTF">2022-10-26T19:52:56Z</dcterms:modified>
</cp:coreProperties>
</file>