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av-j12\"/>
    </mc:Choice>
  </mc:AlternateContent>
  <xr:revisionPtr revIDLastSave="0" documentId="13_ncr:1_{89519044-903E-4ADE-8B96-0BB2D1EA0D1A}" xr6:coauthVersionLast="47" xr6:coauthVersionMax="47" xr10:uidLastSave="{00000000-0000-0000-0000-000000000000}"/>
  <bookViews>
    <workbookView xWindow="-120" yWindow="-120" windowWidth="20730" windowHeight="11040" xr2:uid="{96C65B63-FA5D-429C-A1F3-94D26BA5AEC0}"/>
  </bookViews>
  <sheets>
    <sheet name="Consultas" sheetId="1" r:id="rId1"/>
    <sheet name="Sintomas" sheetId="3" r:id="rId2"/>
    <sheet name="EPS" sheetId="4" r:id="rId3"/>
    <sheet name="Diag." sheetId="5" r:id="rId4"/>
    <sheet name="estadistica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13" i="1"/>
  <c r="O8" i="1"/>
  <c r="O14" i="1" s="1"/>
  <c r="O9" i="1"/>
  <c r="O10" i="1"/>
  <c r="O11" i="1"/>
  <c r="O12" i="1"/>
  <c r="O13" i="1"/>
  <c r="N8" i="1"/>
  <c r="N14" i="1" s="1"/>
  <c r="N9" i="1"/>
  <c r="N10" i="1"/>
  <c r="N11" i="1"/>
  <c r="N12" i="1"/>
  <c r="N13" i="1"/>
  <c r="D2" i="5"/>
  <c r="D3" i="5"/>
  <c r="D4" i="5"/>
  <c r="C2" i="5"/>
  <c r="C3" i="5"/>
  <c r="C4" i="5"/>
  <c r="B2" i="5"/>
  <c r="B3" i="5"/>
  <c r="B4" i="5"/>
  <c r="C2" i="4"/>
  <c r="C3" i="4"/>
  <c r="C4" i="4"/>
  <c r="C5" i="4"/>
  <c r="C6" i="4" s="1"/>
  <c r="B2" i="4"/>
  <c r="B3" i="4"/>
  <c r="B4" i="4"/>
  <c r="B5" i="4"/>
  <c r="D2" i="4"/>
  <c r="D3" i="4"/>
  <c r="D4" i="4"/>
  <c r="D5" i="4"/>
  <c r="C2" i="3"/>
  <c r="C3" i="3"/>
  <c r="C4" i="3"/>
  <c r="C5" i="3"/>
  <c r="C6" i="3"/>
  <c r="C7" i="3"/>
  <c r="B2" i="3"/>
  <c r="B3" i="3"/>
  <c r="B4" i="3"/>
  <c r="B5" i="3"/>
  <c r="B6" i="3"/>
  <c r="B7" i="3"/>
  <c r="O3" i="1"/>
  <c r="O4" i="1"/>
  <c r="O2" i="1"/>
  <c r="N3" i="1"/>
  <c r="N4" i="1"/>
  <c r="N2" i="1"/>
  <c r="P3" i="1"/>
  <c r="P4" i="1"/>
  <c r="P2" i="1"/>
  <c r="D7" i="3"/>
  <c r="B5" i="2"/>
  <c r="E8" i="2"/>
  <c r="E7" i="2"/>
  <c r="E6" i="2"/>
  <c r="E5" i="2"/>
  <c r="E4" i="2"/>
  <c r="D6" i="3"/>
  <c r="D5" i="3"/>
  <c r="D4" i="3"/>
  <c r="D3" i="3"/>
  <c r="D2" i="3"/>
  <c r="B4" i="2"/>
  <c r="B8" i="2"/>
  <c r="B7" i="2"/>
  <c r="B6" i="2"/>
  <c r="P14" i="1" l="1"/>
  <c r="B6" i="4"/>
  <c r="D5" i="5"/>
  <c r="C5" i="5"/>
  <c r="B5" i="5"/>
  <c r="B8" i="3"/>
  <c r="N5" i="1"/>
  <c r="D8" i="3"/>
  <c r="P5" i="1"/>
  <c r="D6" i="4"/>
  <c r="C8" i="3"/>
  <c r="O5" i="1"/>
</calcChain>
</file>

<file path=xl/sharedStrings.xml><?xml version="1.0" encoding="utf-8"?>
<sst xmlns="http://schemas.openxmlformats.org/spreadsheetml/2006/main" count="328" uniqueCount="80">
  <si>
    <t>PACIENTE</t>
  </si>
  <si>
    <t>FECHA ENTRADA</t>
  </si>
  <si>
    <t>SEXO</t>
  </si>
  <si>
    <t>EDAD</t>
  </si>
  <si>
    <t>VALOR CONSULTA</t>
  </si>
  <si>
    <t>SINTOMAS</t>
  </si>
  <si>
    <t>EPS</t>
  </si>
  <si>
    <t>DIAGNOSTICO</t>
  </si>
  <si>
    <t>SALA</t>
  </si>
  <si>
    <t>MEDICO</t>
  </si>
  <si>
    <t>Nº SALA</t>
  </si>
  <si>
    <t>CARLOS</t>
  </si>
  <si>
    <t>M</t>
  </si>
  <si>
    <t>DOLOR DE CABEZA</t>
  </si>
  <si>
    <t>SALUDCCOOP</t>
  </si>
  <si>
    <t>GRIPE</t>
  </si>
  <si>
    <t>URGENCIAS</t>
  </si>
  <si>
    <t>JUAN</t>
  </si>
  <si>
    <t>ANDRES</t>
  </si>
  <si>
    <t>MAREOS</t>
  </si>
  <si>
    <t>COOMEVA</t>
  </si>
  <si>
    <t>COLESTEROL ALTO</t>
  </si>
  <si>
    <t>UCI</t>
  </si>
  <si>
    <t>PEDRO</t>
  </si>
  <si>
    <t>MARIA</t>
  </si>
  <si>
    <t>F</t>
  </si>
  <si>
    <t>TOS</t>
  </si>
  <si>
    <t>SALUDTOTAL</t>
  </si>
  <si>
    <t>GENERAL</t>
  </si>
  <si>
    <t>DIARREA</t>
  </si>
  <si>
    <t>NUEVA EPS</t>
  </si>
  <si>
    <t>PARASITOS</t>
  </si>
  <si>
    <t>ROSA</t>
  </si>
  <si>
    <t>FIEBRE</t>
  </si>
  <si>
    <t>ANA</t>
  </si>
  <si>
    <t>GLORIA</t>
  </si>
  <si>
    <t>JAIRO</t>
  </si>
  <si>
    <t>ONESIMO</t>
  </si>
  <si>
    <t>BERTHA</t>
  </si>
  <si>
    <t>BELKIS</t>
  </si>
  <si>
    <t>DORIS</t>
  </si>
  <si>
    <t>MARIO</t>
  </si>
  <si>
    <t>JAMES</t>
  </si>
  <si>
    <t>DAIRO</t>
  </si>
  <si>
    <t>DEIBER</t>
  </si>
  <si>
    <t>JULIA</t>
  </si>
  <si>
    <t>JORGE</t>
  </si>
  <si>
    <t>MARTHA</t>
  </si>
  <si>
    <t>DIANA</t>
  </si>
  <si>
    <t>NANCY</t>
  </si>
  <si>
    <t>YAMILE</t>
  </si>
  <si>
    <t>SAMIR</t>
  </si>
  <si>
    <t>JHON</t>
  </si>
  <si>
    <t>CINTIA</t>
  </si>
  <si>
    <t>SINDY</t>
  </si>
  <si>
    <t>ANAIS</t>
  </si>
  <si>
    <t>HENRY</t>
  </si>
  <si>
    <t>ALBERTO</t>
  </si>
  <si>
    <t>ALEX</t>
  </si>
  <si>
    <t>FREDY</t>
  </si>
  <si>
    <t>ISABEL</t>
  </si>
  <si>
    <t>GIOVANNY</t>
  </si>
  <si>
    <t>CONTAR</t>
  </si>
  <si>
    <t>PROMEDIO</t>
  </si>
  <si>
    <t>MAX</t>
  </si>
  <si>
    <t>MIN</t>
  </si>
  <si>
    <t>SUMA</t>
  </si>
  <si>
    <t>RANGO</t>
  </si>
  <si>
    <t>Consulta</t>
  </si>
  <si>
    <t>E1</t>
  </si>
  <si>
    <t>Ref. Columna</t>
  </si>
  <si>
    <t>Ref. Rango Tabla</t>
  </si>
  <si>
    <t>Total</t>
  </si>
  <si>
    <t>A:K</t>
  </si>
  <si>
    <t>consultas[#todo]</t>
  </si>
  <si>
    <t>consultas[[#encabezados];[valor consulta]]</t>
  </si>
  <si>
    <t>nombre</t>
  </si>
  <si>
    <t>cant</t>
  </si>
  <si>
    <t>APENDICITIS</t>
  </si>
  <si>
    <t>N°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</si>
</sst>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6" fontId="0" fillId="0" borderId="0" xfId="0" applyNumberFormat="1"/>
    <xf numFmtId="0" fontId="2" fillId="2" borderId="1" xfId="0" applyFont="1" applyFill="1" applyBorder="1"/>
    <xf numFmtId="0" fontId="0" fillId="3" borderId="1" xfId="0" applyFont="1" applyFill="1" applyBorder="1"/>
    <xf numFmtId="44" fontId="0" fillId="0" borderId="0" xfId="1" applyFont="1"/>
    <xf numFmtId="0" fontId="0" fillId="0" borderId="1" xfId="0" applyFont="1" applyBorder="1"/>
    <xf numFmtId="0" fontId="2" fillId="2" borderId="0" xfId="0" applyFont="1" applyFill="1" applyBorder="1"/>
    <xf numFmtId="0" fontId="0" fillId="3" borderId="2" xfId="0" applyFont="1" applyFill="1" applyBorder="1"/>
    <xf numFmtId="14" fontId="0" fillId="3" borderId="2" xfId="0" applyNumberFormat="1" applyFont="1" applyFill="1" applyBorder="1"/>
    <xf numFmtId="6" fontId="0" fillId="3" borderId="2" xfId="0" applyNumberFormat="1" applyFont="1" applyFill="1" applyBorder="1"/>
    <xf numFmtId="0" fontId="2" fillId="0" borderId="1" xfId="0" applyFont="1" applyFill="1" applyBorder="1"/>
    <xf numFmtId="0" fontId="0" fillId="0" borderId="0" xfId="0" applyFill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Border="1"/>
  </cellXfs>
  <cellStyles count="2">
    <cellStyle name="Moneda" xfId="1" builtinId="4"/>
    <cellStyle name="Normal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0" formatCode="&quot;$&quot;\ #,##0;[Red]\-&quot;$&quot;\ #,##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10" formatCode="&quot;$&quot;\ #,##0;[Red]\-&quot;$&quot;\ #,##0"/>
    </dxf>
    <dxf>
      <numFmt numFmtId="10" formatCode="&quot;$&quot;\ #,##0;[Red]\-&quot;$&quot;\ #,##0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Sintomas</a:t>
            </a:r>
          </a:p>
        </c:rich>
      </c:tx>
      <c:layout>
        <c:manualLayout>
          <c:xMode val="edge"/>
          <c:yMode val="edge"/>
          <c:x val="2.4749999999999991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Sintomas!$D$1</c:f>
              <c:strCache>
                <c:ptCount val="1"/>
                <c:pt idx="0">
                  <c:v>cant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BBE-412C-8E87-2081C4ECA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BBE-412C-8E87-2081C4ECA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BE-412C-8E87-2081C4ECA0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BE-412C-8E87-2081C4ECA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BBE-412C-8E87-2081C4ECA0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BE-412C-8E87-2081C4ECA094}"/>
              </c:ext>
            </c:extLst>
          </c:dPt>
          <c:dLbls>
            <c:dLbl>
              <c:idx val="0"/>
              <c:layout>
                <c:manualLayout>
                  <c:x val="0.26666666666666666"/>
                  <c:y val="-0.199074074074074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BE-412C-8E87-2081C4ECA094}"/>
                </c:ext>
              </c:extLst>
            </c:dLbl>
            <c:dLbl>
              <c:idx val="1"/>
              <c:layout>
                <c:manualLayout>
                  <c:x val="0.27500000000000002"/>
                  <c:y val="0.185185185185185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BE-412C-8E87-2081C4ECA094}"/>
                </c:ext>
              </c:extLst>
            </c:dLbl>
            <c:dLbl>
              <c:idx val="2"/>
              <c:layout>
                <c:manualLayout>
                  <c:x val="-0.10555555555555561"/>
                  <c:y val="0.152777777777777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BE-412C-8E87-2081C4ECA094}"/>
                </c:ext>
              </c:extLst>
            </c:dLbl>
            <c:dLbl>
              <c:idx val="3"/>
              <c:layout>
                <c:manualLayout>
                  <c:x val="-0.27777777777777779"/>
                  <c:y val="3.24074074074074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BE-412C-8E87-2081C4ECA094}"/>
                </c:ext>
              </c:extLst>
            </c:dLbl>
            <c:dLbl>
              <c:idx val="4"/>
              <c:layout>
                <c:manualLayout>
                  <c:x val="-0.18055555555555558"/>
                  <c:y val="-0.26388888888888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BE-412C-8E87-2081C4ECA0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BE-412C-8E87-2081C4ECA0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Sintomas!$A$2:$A$7</c:f>
              <c:strCache>
                <c:ptCount val="6"/>
                <c:pt idx="0">
                  <c:v>DOLOR DE CABEZA</c:v>
                </c:pt>
                <c:pt idx="1">
                  <c:v>MAREOS</c:v>
                </c:pt>
                <c:pt idx="2">
                  <c:v>TOS</c:v>
                </c:pt>
                <c:pt idx="3">
                  <c:v>DIARREA</c:v>
                </c:pt>
                <c:pt idx="4">
                  <c:v>FIEBRE</c:v>
                </c:pt>
                <c:pt idx="5">
                  <c:v>APENDICITIS</c:v>
                </c:pt>
              </c:strCache>
            </c:strRef>
          </c:cat>
          <c:val>
            <c:numRef>
              <c:f>Sintomas!$D$2:$D$7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E-412C-8E87-2081C4ECA094}"/>
            </c:ext>
          </c:extLst>
        </c:ser>
        <c:ser>
          <c:idx val="2"/>
          <c:order val="1"/>
          <c:tx>
            <c:strRef>
              <c:f>Sintomas!$C$1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BE-412C-8E87-2081C4ECA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BBE-412C-8E87-2081C4ECA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BE-412C-8E87-2081C4ECA0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BBE-412C-8E87-2081C4ECA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BE-412C-8E87-2081C4ECA0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BBE-412C-8E87-2081C4ECA094}"/>
              </c:ext>
            </c:extLst>
          </c:dPt>
          <c:dLbls>
            <c:dLbl>
              <c:idx val="0"/>
              <c:layout>
                <c:manualLayout>
                  <c:x val="0.11111111111111101"/>
                  <c:y val="-0.23148148148148148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BE-412C-8E87-2081C4ECA094}"/>
                </c:ext>
              </c:extLst>
            </c:dLbl>
            <c:dLbl>
              <c:idx val="1"/>
              <c:layout>
                <c:manualLayout>
                  <c:x val="0.25277777777777777"/>
                  <c:y val="8.3333333333333329E-2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BBE-412C-8E87-2081C4ECA094}"/>
                </c:ext>
              </c:extLst>
            </c:dLbl>
            <c:dLbl>
              <c:idx val="2"/>
              <c:layout>
                <c:manualLayout>
                  <c:x val="-0.15833333333333333"/>
                  <c:y val="0.13425925925925927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BBE-412C-8E87-2081C4ECA094}"/>
                </c:ext>
              </c:extLst>
            </c:dLbl>
            <c:dLbl>
              <c:idx val="3"/>
              <c:layout>
                <c:manualLayout>
                  <c:x val="-0.23333333333333334"/>
                  <c:y val="4.6296296296296294E-3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BE-412C-8E87-2081C4ECA094}"/>
                </c:ext>
              </c:extLst>
            </c:dLbl>
            <c:dLbl>
              <c:idx val="4"/>
              <c:layout>
                <c:manualLayout>
                  <c:x val="-0.24166666666666667"/>
                  <c:y val="-9.7222222222222224E-2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BE-412C-8E87-2081C4ECA0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BE-412C-8E87-2081C4ECA0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Sintomas!$A$2:$A$7</c:f>
              <c:strCache>
                <c:ptCount val="6"/>
                <c:pt idx="0">
                  <c:v>DOLOR DE CABEZA</c:v>
                </c:pt>
                <c:pt idx="1">
                  <c:v>MAREOS</c:v>
                </c:pt>
                <c:pt idx="2">
                  <c:v>TOS</c:v>
                </c:pt>
                <c:pt idx="3">
                  <c:v>DIARREA</c:v>
                </c:pt>
                <c:pt idx="4">
                  <c:v>FIEBRE</c:v>
                </c:pt>
                <c:pt idx="5">
                  <c:v>APENDICITIS</c:v>
                </c:pt>
              </c:strCache>
            </c:strRef>
          </c:cat>
          <c:val>
            <c:numRef>
              <c:f>Sintomas!$C$2:$C$7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BE-412C-8E87-2081C4ECA094}"/>
            </c:ext>
          </c:extLst>
        </c:ser>
        <c:ser>
          <c:idx val="1"/>
          <c:order val="2"/>
          <c:tx>
            <c:strRef>
              <c:f>Sintomas!$B$1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BBE-412C-8E87-2081C4ECA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BBE-412C-8E87-2081C4ECA0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BE-412C-8E87-2081C4ECA0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BBE-412C-8E87-2081C4ECA0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BBE-412C-8E87-2081C4ECA09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BBE-412C-8E87-2081C4ECA094}"/>
              </c:ext>
            </c:extLst>
          </c:dPt>
          <c:dLbls>
            <c:dLbl>
              <c:idx val="0"/>
              <c:layout>
                <c:manualLayout>
                  <c:x val="0.22777777777777777"/>
                  <c:y val="5.0925925925925923E-2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BBE-412C-8E87-2081C4ECA094}"/>
                </c:ext>
              </c:extLst>
            </c:dLbl>
            <c:dLbl>
              <c:idx val="1"/>
              <c:layout>
                <c:manualLayout>
                  <c:x val="0.1861111111111112"/>
                  <c:y val="0.21759259259259242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BBE-412C-8E87-2081C4ECA094}"/>
                </c:ext>
              </c:extLst>
            </c:dLbl>
            <c:dLbl>
              <c:idx val="2"/>
              <c:layout>
                <c:manualLayout>
                  <c:x val="-6.6666666666666666E-2"/>
                  <c:y val="0.10831547098279365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BBE-412C-8E87-2081C4ECA094}"/>
                </c:ext>
              </c:extLst>
            </c:dLbl>
            <c:dLbl>
              <c:idx val="3"/>
              <c:layout>
                <c:manualLayout>
                  <c:x val="-0.21964457567804024"/>
                  <c:y val="1.3888888888888805E-2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BBE-412C-8E87-2081C4ECA094}"/>
                </c:ext>
              </c:extLst>
            </c:dLbl>
            <c:dLbl>
              <c:idx val="4"/>
              <c:layout>
                <c:manualLayout>
                  <c:x val="0"/>
                  <c:y val="-0.20370370370370369"/>
                </c:manualLayout>
              </c:layout>
              <c:showLegendKey val="0"/>
              <c:showVal val="0"/>
              <c:showCatName val="1"/>
              <c:showSerName val="1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BBE-412C-8E87-2081C4ECA09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BBE-412C-8E87-2081C4ECA09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0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Sintomas!$A$2:$A$7</c:f>
              <c:strCache>
                <c:ptCount val="6"/>
                <c:pt idx="0">
                  <c:v>DOLOR DE CABEZA</c:v>
                </c:pt>
                <c:pt idx="1">
                  <c:v>MAREOS</c:v>
                </c:pt>
                <c:pt idx="2">
                  <c:v>TOS</c:v>
                </c:pt>
                <c:pt idx="3">
                  <c:v>DIARREA</c:v>
                </c:pt>
                <c:pt idx="4">
                  <c:v>FIEBRE</c:v>
                </c:pt>
                <c:pt idx="5">
                  <c:v>APENDICITIS</c:v>
                </c:pt>
              </c:strCache>
            </c:strRef>
          </c:cat>
          <c:val>
            <c:numRef>
              <c:f>Sintomas!$B$2:$B$7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BE-412C-8E87-2081C4ECA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Estadisticas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EPS!$B$1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EPS!$A$2:$A$5</c:f>
              <c:strCache>
                <c:ptCount val="4"/>
                <c:pt idx="0">
                  <c:v>COOMEVA</c:v>
                </c:pt>
                <c:pt idx="1">
                  <c:v>SALUDTOTAL</c:v>
                </c:pt>
                <c:pt idx="2">
                  <c:v>NUEVA EPS</c:v>
                </c:pt>
                <c:pt idx="3">
                  <c:v>SALUDCCOOP</c:v>
                </c:pt>
              </c:strCache>
            </c:strRef>
          </c:cat>
          <c:val>
            <c:numRef>
              <c:f>EPS!$B$2:$B$5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1-4EFA-8876-F1FCECCEDC61}"/>
            </c:ext>
          </c:extLst>
        </c:ser>
        <c:ser>
          <c:idx val="1"/>
          <c:order val="1"/>
          <c:tx>
            <c:strRef>
              <c:f>EPS!$C$1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EPS!$A$2:$A$5</c:f>
              <c:strCache>
                <c:ptCount val="4"/>
                <c:pt idx="0">
                  <c:v>COOMEVA</c:v>
                </c:pt>
                <c:pt idx="1">
                  <c:v>SALUDTOTAL</c:v>
                </c:pt>
                <c:pt idx="2">
                  <c:v>NUEVA EPS</c:v>
                </c:pt>
                <c:pt idx="3">
                  <c:v>SALUDCCOOP</c:v>
                </c:pt>
              </c:strCache>
            </c:strRef>
          </c:cat>
          <c:val>
            <c:numRef>
              <c:f>EPS!$C$2:$C$5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1-4EFA-8876-F1FCECCEDC61}"/>
            </c:ext>
          </c:extLst>
        </c:ser>
        <c:ser>
          <c:idx val="2"/>
          <c:order val="2"/>
          <c:tx>
            <c:strRef>
              <c:f>EPS!$D$1</c:f>
              <c:strCache>
                <c:ptCount val="1"/>
                <c:pt idx="0">
                  <c:v>cant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EPS!$A$2:$A$5</c:f>
              <c:strCache>
                <c:ptCount val="4"/>
                <c:pt idx="0">
                  <c:v>COOMEVA</c:v>
                </c:pt>
                <c:pt idx="1">
                  <c:v>SALUDTOTAL</c:v>
                </c:pt>
                <c:pt idx="2">
                  <c:v>NUEVA EPS</c:v>
                </c:pt>
                <c:pt idx="3">
                  <c:v>SALUDCCOOP</c:v>
                </c:pt>
              </c:strCache>
            </c:strRef>
          </c:cat>
          <c:val>
            <c:numRef>
              <c:f>EPS!$D$2:$D$5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1-4EFA-8876-F1FCECCED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090112"/>
        <c:axId val="829088032"/>
      </c:barChart>
      <c:catAx>
        <c:axId val="8290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9088032"/>
        <c:crosses val="autoZero"/>
        <c:auto val="1"/>
        <c:lblAlgn val="ctr"/>
        <c:lblOffset val="100"/>
        <c:noMultiLvlLbl val="0"/>
      </c:catAx>
      <c:valAx>
        <c:axId val="8290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909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0</xdr:rowOff>
    </xdr:from>
    <xdr:to>
      <xdr:col>11</xdr:col>
      <xdr:colOff>735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F0C1D-5CB8-4617-A7C8-FD4B5EF88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985</xdr:colOff>
      <xdr:row>0</xdr:row>
      <xdr:rowOff>0</xdr:rowOff>
    </xdr:from>
    <xdr:to>
      <xdr:col>11</xdr:col>
      <xdr:colOff>985</xdr:colOff>
      <xdr:row>15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C26C0-3BF7-40F3-A574-C75B057AB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41EFC-D1E8-4F6E-9C94-A3F8C6776698}" name="consultas" displayName="consultas" ref="A1:K40">
  <autoFilter ref="A1:K40" xr:uid="{6E441EFC-D1E8-4F6E-9C94-A3F8C6776698}"/>
  <tableColumns count="11">
    <tableColumn id="1" xr3:uid="{EC82EA36-EB1F-49DB-A78A-F50AC33EE756}" name="PACIENTE" totalsRowLabel="Total"/>
    <tableColumn id="2" xr3:uid="{C8C2C046-88FD-4CEF-BF85-DB92A181E0F5}" name="FECHA ENTRADA" dataDxfId="37"/>
    <tableColumn id="3" xr3:uid="{ADD20D36-BD44-44DC-AD63-8C9CB8E591A8}" name="SEXO"/>
    <tableColumn id="4" xr3:uid="{10727B86-F67A-4CA2-89E7-579B6DE2B962}" name="EDAD"/>
    <tableColumn id="5" xr3:uid="{188E4BC3-9DE6-4BEA-BA07-B0330A9C93BC}" name="VALOR CONSULTA" totalsRowFunction="sum" dataDxfId="36" totalsRowDxfId="35"/>
    <tableColumn id="6" xr3:uid="{CE3245D0-4345-44E2-90AF-6B2883BC986D}" name="SINTOMAS"/>
    <tableColumn id="7" xr3:uid="{3805ABBF-FA67-4E8E-8032-9FCB8BF93218}" name="EPS"/>
    <tableColumn id="8" xr3:uid="{5FF9DCF8-C812-4517-9BEA-20F822FA3431}" name="DIAGNOSTICO"/>
    <tableColumn id="9" xr3:uid="{6A64243D-9D68-40FF-BFC4-64EC77D0EC33}" name="SALA"/>
    <tableColumn id="10" xr3:uid="{7B5E8CF0-A178-4CD4-BE64-1CB1FE201BCC}" name="MEDICO"/>
    <tableColumn id="11" xr3:uid="{8271452B-653D-4D1E-BA71-3175514B5DBC}" name="Nº SALA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8448426-7384-4C17-9436-DBD879A4F2CB}" name="sala_nombres" displayName="sala_nombres" ref="M1:P5" totalsRowCount="1">
  <autoFilter ref="M1:P4" xr:uid="{C8448426-7384-4C17-9436-DBD879A4F2CB}"/>
  <tableColumns count="4">
    <tableColumn id="1" xr3:uid="{9A4E74E3-608A-4BEA-BED4-7AD6FA092E4D}" name="SALA" totalsRowLabel="Total"/>
    <tableColumn id="3" xr3:uid="{FACAF06C-F4FD-4799-A2CB-6A45AA4B1799}" name="M" totalsRowFunction="sum"/>
    <tableColumn id="4" xr3:uid="{93C25959-9B38-45C7-B858-162B68C50D9F}" name="F" totalsRowFunction="sum"/>
    <tableColumn id="2" xr3:uid="{E14355DF-19BC-445F-95E0-15BA64BA38C3}" name="Total" totalsRowFunction="sum">
      <calculatedColumnFormula>COUNTIF(consultas[SALA],M2)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44FFD16-F8E9-4AB3-BC8B-54439875215D}" name="sala_numeros" displayName="sala_numeros" ref="M7:P14" totalsRowCount="1">
  <autoFilter ref="M7:P13" xr:uid="{944FFD16-F8E9-4AB3-BC8B-54439875215D}"/>
  <tableColumns count="4">
    <tableColumn id="1" xr3:uid="{F02196C5-358E-43B0-AC91-5CFCD0BD54B5}" name="N° SALA" totalsRowLabel="Total"/>
    <tableColumn id="2" xr3:uid="{3287619F-FF33-4119-9C3A-2BA196659CDB}" name="M" totalsRowFunction="sum" dataDxfId="7">
      <calculatedColumnFormula>COUNTIFS(consultas[Nº SALA],$M8,consultas[SEXO],N$1)</calculatedColumnFormula>
    </tableColumn>
    <tableColumn id="3" xr3:uid="{71C9643A-8015-49E5-93EF-F0993CCE7A0B}" name="F" totalsRowFunction="sum" dataDxfId="6">
      <calculatedColumnFormula>COUNTIFS(consultas[Nº SALA],$M8,consultas[SEXO],O$1)</calculatedColumnFormula>
    </tableColumn>
    <tableColumn id="4" xr3:uid="{C61461CC-35A1-49D4-B2DB-3BDB6B07A3C3}" name="Total" totalsRowFunction="sum" dataDxfId="5">
      <calculatedColumnFormula>COUNTIF(consultas[Nº SALA],M8)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D8535B-95FE-40ED-80F1-F867E2BB12CE}" name="sintomas" displayName="sintomas" ref="A1:D8" totalsRowCount="1" headerRowDxfId="19" dataDxfId="18">
  <autoFilter ref="A1:D7" xr:uid="{1BD8535B-95FE-40ED-80F1-F867E2BB12CE}"/>
  <tableColumns count="4">
    <tableColumn id="1" xr3:uid="{FE59E412-D13D-4FFB-AC98-6B40A0D50C7E}" name="nombre" totalsRowLabel="Total" dataDxfId="20" totalsRowDxfId="14"/>
    <tableColumn id="3" xr3:uid="{B40697AB-D92C-41F4-93FB-88A3DC66EE2C}" name="M" totalsRowFunction="sum" dataDxfId="17" totalsRowDxfId="13">
      <calculatedColumnFormula>COUNTIFS(consultas[SINTOMAS],sintomas[[#This Row],[nombre]],consultas[SEXO],sintomas[[#Headers],[M]])</calculatedColumnFormula>
    </tableColumn>
    <tableColumn id="4" xr3:uid="{E2CC96D7-2DA9-4C89-8E37-CA0AA4C1F54B}" name="F" totalsRowFunction="sum" dataDxfId="16" totalsRowDxfId="12">
      <calculatedColumnFormula>COUNTIFS(consultas[SINTOMAS],sintomas[[#This Row],[nombre]],consultas[SEXO],sintomas[[#Headers],[F]])</calculatedColumnFormula>
    </tableColumn>
    <tableColumn id="2" xr3:uid="{7C946B64-55CF-46E8-83D7-95E10D913968}" name="cant" totalsRowFunction="sum" dataDxfId="15" totalsRowDxfId="11">
      <calculatedColumnFormula>COUNTIF(consultas[SINTOMAS],A2)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88E62D-3E39-41D3-9434-2A47DCDDBFA5}" name="eps" displayName="eps" ref="A1:D6" totalsRowCount="1">
  <autoFilter ref="A1:D5" xr:uid="{7688E62D-3E39-41D3-9434-2A47DCDDBFA5}"/>
  <tableColumns count="4">
    <tableColumn id="1" xr3:uid="{B0AA9F69-BE41-42E4-97D5-421616661BC9}" name="nombre" totalsRowLabel="Total"/>
    <tableColumn id="4" xr3:uid="{C3316FC6-E38D-47BD-967B-920AC817EA02}" name="M" totalsRowFunction="sum" dataDxfId="9">
      <calculatedColumnFormula>COUNTIFS(consultas[EPS],eps[[#This Row],[nombre]],consultas[SEXO],eps[[#Headers],[M]])</calculatedColumnFormula>
    </tableColumn>
    <tableColumn id="3" xr3:uid="{74F84E4D-37F2-4F2C-A6A4-4D7382A164F4}" name="F" totalsRowFunction="sum" dataDxfId="8">
      <calculatedColumnFormula>COUNTIFS(consultas[EPS],eps[[#This Row],[nombre]],consultas[SEXO],eps[[#Headers],[F]])</calculatedColumnFormula>
    </tableColumn>
    <tableColumn id="2" xr3:uid="{58C7F580-DE5E-47E5-A261-6E465FD82430}" name="cant" totalsRowFunction="sum" dataDxfId="10">
      <calculatedColumnFormula>COUNTIF(consultas[EPS],eps[[#This Row],[nombre]])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F2E751-2B35-422B-8E7D-B1FF30734C49}" name="diagnostico" displayName="diagnostico" ref="A1:D5" totalsRowCount="1">
  <autoFilter ref="A1:D4" xr:uid="{86F2E751-2B35-422B-8E7D-B1FF30734C49}"/>
  <tableColumns count="4">
    <tableColumn id="1" xr3:uid="{8096F61C-2C59-4592-A42F-61BF15553F5D}" name="nombre" totalsRowLabel="Total" dataDxfId="3" totalsRowDxfId="4"/>
    <tableColumn id="4" xr3:uid="{69922583-5ADD-4609-8A13-F309F9BF2617}" name="M" totalsRowFunction="sum" dataDxfId="2">
      <calculatedColumnFormula>COUNTIFS(consultas[DIAGNOSTICO],diagnostico[[#This Row],[nombre]],consultas[SEXO],diagnostico[[#Headers],[M]])</calculatedColumnFormula>
    </tableColumn>
    <tableColumn id="3" xr3:uid="{2E9574B2-FEDF-4473-B1B2-5F7BED59E396}" name="F" totalsRowFunction="sum" dataDxfId="1">
      <calculatedColumnFormula>COUNTIFS(consultas[DIAGNOSTICO],diagnostico[[#This Row],[nombre]],consultas[SEXO],diagnostico[[#Headers],[F]])</calculatedColumnFormula>
    </tableColumn>
    <tableColumn id="2" xr3:uid="{16E9E940-42D4-48C2-B17E-0511625B0478}" name="cant" totalsRowFunction="sum" dataDxfId="0">
      <calculatedColumnFormula>COUNTIF(consultas[DIAGNOSTICO],diagnostico[[#This Row],[nombre]])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1CC706-1D39-4161-B333-B24C4E334487}" name="condiciones" displayName="condiciones" ref="A1:K2" totalsRowShown="0" headerRowDxfId="21" dataDxfId="22" tableBorderDxfId="34">
  <autoFilter ref="A1:K2" xr:uid="{981CC706-1D39-4161-B333-B24C4E334487}"/>
  <tableColumns count="11">
    <tableColumn id="1" xr3:uid="{01AE878A-DBC7-4557-BBD6-D5D55A909672}" name="PACIENTE" dataDxfId="33"/>
    <tableColumn id="2" xr3:uid="{C2EADEEC-4AEC-4D0B-A67B-BCF56FC6F7E6}" name="FECHA ENTRADA" dataDxfId="32"/>
    <tableColumn id="3" xr3:uid="{FE98B3F5-EF62-48B9-8AAC-07870ABE0568}" name="SEXO" dataDxfId="31"/>
    <tableColumn id="4" xr3:uid="{ED80729D-94D8-4AA7-89E5-C7F75FBD9D31}" name="EDAD" dataDxfId="30"/>
    <tableColumn id="5" xr3:uid="{D21B0948-2F5B-4882-9A85-6079FA28F7D3}" name="VALOR CONSULTA" dataDxfId="29"/>
    <tableColumn id="6" xr3:uid="{F07DB86B-840F-4A91-AF78-3EBE9FF94938}" name="SINTOMAS" dataDxfId="28"/>
    <tableColumn id="7" xr3:uid="{8B97ECAE-C44A-4352-8245-F057FD32A5E1}" name="EPS" dataDxfId="27"/>
    <tableColumn id="8" xr3:uid="{90E3307A-9018-4FE7-B90D-BFFDC7063DA2}" name="DIAGNOSTICO" dataDxfId="26"/>
    <tableColumn id="9" xr3:uid="{3DB5A69B-1E06-4302-954C-896C7EB33553}" name="SALA" dataDxfId="25"/>
    <tableColumn id="10" xr3:uid="{68459C48-FD1B-4091-BA0D-9F12ACE78A94}" name="MEDICO" dataDxfId="24"/>
    <tableColumn id="11" xr3:uid="{E2F6BA46-1715-4664-B357-3382762F6E79}" name="Nº SALA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A3A89-618A-42AA-9659-E5C231C362B4}">
  <dimension ref="A1:P40"/>
  <sheetViews>
    <sheetView tabSelected="1" topLeftCell="F1" zoomScale="115" zoomScaleNormal="115" workbookViewId="0">
      <selection activeCell="Q2" sqref="Q2"/>
    </sheetView>
  </sheetViews>
  <sheetFormatPr baseColWidth="10" defaultRowHeight="15" x14ac:dyDescent="0.25"/>
  <cols>
    <col min="1" max="1" width="11.7109375" customWidth="1"/>
    <col min="2" max="2" width="17.7109375" customWidth="1"/>
    <col min="3" max="3" width="7.7109375" customWidth="1"/>
    <col min="4" max="4" width="8" customWidth="1"/>
    <col min="5" max="5" width="19" customWidth="1"/>
    <col min="6" max="6" width="17.28515625" bestFit="1" customWidth="1"/>
    <col min="7" max="7" width="13" bestFit="1" customWidth="1"/>
    <col min="8" max="8" width="17" bestFit="1" customWidth="1"/>
    <col min="9" max="9" width="11.140625" bestFit="1" customWidth="1"/>
    <col min="10" max="11" width="10.28515625" customWidth="1"/>
    <col min="12" max="12" width="3.85546875" customWidth="1"/>
    <col min="14" max="14" width="5.140625" bestFit="1" customWidth="1"/>
    <col min="15" max="15" width="4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8</v>
      </c>
      <c r="N1" t="s">
        <v>12</v>
      </c>
      <c r="O1" t="s">
        <v>25</v>
      </c>
      <c r="P1" t="s">
        <v>72</v>
      </c>
    </row>
    <row r="2" spans="1:16" x14ac:dyDescent="0.25">
      <c r="A2" t="s">
        <v>11</v>
      </c>
      <c r="B2" s="1">
        <v>40913</v>
      </c>
      <c r="C2" t="s">
        <v>12</v>
      </c>
      <c r="D2">
        <v>25</v>
      </c>
      <c r="E2" s="2">
        <v>25000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>
        <v>102</v>
      </c>
      <c r="M2" t="s">
        <v>16</v>
      </c>
      <c r="N2">
        <f>COUNTIFS(consultas[SALA],$M2,consultas[SEXO],N$1)</f>
        <v>9</v>
      </c>
      <c r="O2">
        <f>COUNTIFS(consultas[SALA],$M2,consultas[SEXO],O$1)</f>
        <v>4</v>
      </c>
      <c r="P2">
        <f>COUNTIF(consultas[SALA],M2)</f>
        <v>13</v>
      </c>
    </row>
    <row r="3" spans="1:16" x14ac:dyDescent="0.25">
      <c r="A3" t="s">
        <v>18</v>
      </c>
      <c r="B3" s="1">
        <v>40944</v>
      </c>
      <c r="C3" t="s">
        <v>12</v>
      </c>
      <c r="D3">
        <v>24</v>
      </c>
      <c r="E3" s="2">
        <v>45000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>
        <v>105</v>
      </c>
      <c r="M3" t="s">
        <v>22</v>
      </c>
      <c r="N3">
        <f>COUNTIFS(consultas[SALA],$M3,consultas[SEXO],N$1)</f>
        <v>5</v>
      </c>
      <c r="O3">
        <f>COUNTIFS(consultas[SALA],$M3,consultas[SEXO],O$1)</f>
        <v>6</v>
      </c>
      <c r="P3">
        <f>COUNTIF(consultas[SALA],M3)</f>
        <v>11</v>
      </c>
    </row>
    <row r="4" spans="1:16" x14ac:dyDescent="0.25">
      <c r="A4" t="s">
        <v>24</v>
      </c>
      <c r="B4" s="1">
        <v>40973</v>
      </c>
      <c r="C4" t="s">
        <v>25</v>
      </c>
      <c r="D4">
        <v>28</v>
      </c>
      <c r="E4" s="2">
        <v>35000</v>
      </c>
      <c r="F4" t="s">
        <v>26</v>
      </c>
      <c r="G4" t="s">
        <v>27</v>
      </c>
      <c r="H4" t="s">
        <v>15</v>
      </c>
      <c r="I4" t="s">
        <v>28</v>
      </c>
      <c r="J4" t="s">
        <v>24</v>
      </c>
      <c r="K4">
        <v>104</v>
      </c>
      <c r="M4" t="s">
        <v>28</v>
      </c>
      <c r="N4">
        <f>COUNTIFS(consultas[SALA],$M4,consultas[SEXO],N$1)</f>
        <v>5</v>
      </c>
      <c r="O4">
        <f>COUNTIFS(consultas[SALA],$M4,consultas[SEXO],O$1)</f>
        <v>7</v>
      </c>
      <c r="P4">
        <f>COUNTIF(consultas[SALA],M4)</f>
        <v>12</v>
      </c>
    </row>
    <row r="5" spans="1:16" x14ac:dyDescent="0.25">
      <c r="A5" t="s">
        <v>17</v>
      </c>
      <c r="B5" s="1">
        <v>40913</v>
      </c>
      <c r="C5" t="s">
        <v>12</v>
      </c>
      <c r="D5">
        <v>31</v>
      </c>
      <c r="E5" s="2">
        <v>25000</v>
      </c>
      <c r="F5" t="s">
        <v>29</v>
      </c>
      <c r="G5" t="s">
        <v>30</v>
      </c>
      <c r="H5" t="s">
        <v>31</v>
      </c>
      <c r="I5" t="s">
        <v>16</v>
      </c>
      <c r="J5" t="s">
        <v>17</v>
      </c>
      <c r="K5">
        <v>101</v>
      </c>
      <c r="M5" t="s">
        <v>72</v>
      </c>
      <c r="N5">
        <f>SUBTOTAL(109,sala_nombres[M])</f>
        <v>19</v>
      </c>
      <c r="O5">
        <f>SUBTOTAL(109,sala_nombres[F])</f>
        <v>17</v>
      </c>
      <c r="P5">
        <f>SUBTOTAL(109,sala_nombres[Total])</f>
        <v>36</v>
      </c>
    </row>
    <row r="6" spans="1:16" x14ac:dyDescent="0.25">
      <c r="A6" t="s">
        <v>32</v>
      </c>
      <c r="B6" s="1">
        <v>40944</v>
      </c>
      <c r="C6" t="s">
        <v>25</v>
      </c>
      <c r="D6">
        <v>35</v>
      </c>
      <c r="E6" s="2">
        <v>45000</v>
      </c>
      <c r="F6" t="s">
        <v>33</v>
      </c>
      <c r="G6" t="s">
        <v>14</v>
      </c>
      <c r="H6" t="s">
        <v>15</v>
      </c>
      <c r="I6" t="s">
        <v>22</v>
      </c>
      <c r="J6" t="s">
        <v>23</v>
      </c>
      <c r="K6">
        <v>102</v>
      </c>
    </row>
    <row r="7" spans="1:16" x14ac:dyDescent="0.25">
      <c r="A7" t="s">
        <v>23</v>
      </c>
      <c r="B7" s="1">
        <v>40973</v>
      </c>
      <c r="C7" t="s">
        <v>12</v>
      </c>
      <c r="D7">
        <v>45</v>
      </c>
      <c r="E7" s="2">
        <v>38000</v>
      </c>
      <c r="F7" t="s">
        <v>13</v>
      </c>
      <c r="G7" t="s">
        <v>20</v>
      </c>
      <c r="H7" t="s">
        <v>15</v>
      </c>
      <c r="I7" t="s">
        <v>28</v>
      </c>
      <c r="J7" t="s">
        <v>24</v>
      </c>
      <c r="K7">
        <v>105</v>
      </c>
      <c r="M7" t="s">
        <v>79</v>
      </c>
      <c r="N7" t="s">
        <v>12</v>
      </c>
      <c r="O7" t="s">
        <v>25</v>
      </c>
      <c r="P7" t="s">
        <v>72</v>
      </c>
    </row>
    <row r="8" spans="1:16" x14ac:dyDescent="0.25">
      <c r="A8" t="s">
        <v>34</v>
      </c>
      <c r="B8" s="1">
        <v>40913</v>
      </c>
      <c r="C8" t="s">
        <v>25</v>
      </c>
      <c r="D8">
        <v>23</v>
      </c>
      <c r="E8" s="2">
        <v>45000</v>
      </c>
      <c r="F8" t="s">
        <v>19</v>
      </c>
      <c r="G8" t="s">
        <v>27</v>
      </c>
      <c r="H8" t="s">
        <v>21</v>
      </c>
      <c r="I8" t="s">
        <v>16</v>
      </c>
      <c r="J8" t="s">
        <v>17</v>
      </c>
      <c r="K8">
        <v>104</v>
      </c>
      <c r="M8">
        <v>101</v>
      </c>
      <c r="N8">
        <f>COUNTIFS(consultas[Nº SALA],$M8,consultas[SEXO],N$1)</f>
        <v>3</v>
      </c>
      <c r="O8">
        <f>COUNTIFS(consultas[Nº SALA],$M8,consultas[SEXO],O$1)</f>
        <v>5</v>
      </c>
      <c r="P8">
        <f>COUNTIF(consultas[Nº SALA],M8)</f>
        <v>8</v>
      </c>
    </row>
    <row r="9" spans="1:16" x14ac:dyDescent="0.25">
      <c r="A9" t="s">
        <v>35</v>
      </c>
      <c r="B9" s="1">
        <v>40944</v>
      </c>
      <c r="C9" t="s">
        <v>25</v>
      </c>
      <c r="D9">
        <v>25</v>
      </c>
      <c r="E9" s="2">
        <v>75000</v>
      </c>
      <c r="F9" t="s">
        <v>26</v>
      </c>
      <c r="G9" t="s">
        <v>30</v>
      </c>
      <c r="H9" t="s">
        <v>15</v>
      </c>
      <c r="I9" t="s">
        <v>22</v>
      </c>
      <c r="J9" t="s">
        <v>23</v>
      </c>
      <c r="K9">
        <v>101</v>
      </c>
      <c r="M9">
        <v>102</v>
      </c>
      <c r="N9">
        <f>COUNTIFS(consultas[Nº SALA],$M9,consultas[SEXO],N$1)</f>
        <v>6</v>
      </c>
      <c r="O9">
        <f>COUNTIFS(consultas[Nº SALA],$M9,consultas[SEXO],O$1)</f>
        <v>3</v>
      </c>
      <c r="P9">
        <f>COUNTIF(consultas[Nº SALA],M9)</f>
        <v>9</v>
      </c>
    </row>
    <row r="10" spans="1:16" x14ac:dyDescent="0.25">
      <c r="A10" t="s">
        <v>36</v>
      </c>
      <c r="B10" s="1">
        <v>40973</v>
      </c>
      <c r="C10" t="s">
        <v>12</v>
      </c>
      <c r="D10">
        <v>28</v>
      </c>
      <c r="E10" s="2">
        <v>35000</v>
      </c>
      <c r="F10" t="s">
        <v>29</v>
      </c>
      <c r="G10" t="s">
        <v>14</v>
      </c>
      <c r="H10" t="s">
        <v>31</v>
      </c>
      <c r="I10" t="s">
        <v>28</v>
      </c>
      <c r="J10" t="s">
        <v>24</v>
      </c>
      <c r="K10">
        <v>102</v>
      </c>
      <c r="M10">
        <v>103</v>
      </c>
      <c r="N10">
        <f>COUNTIFS(consultas[Nº SALA],$M10,consultas[SEXO],N$1)</f>
        <v>0</v>
      </c>
      <c r="O10">
        <f>COUNTIFS(consultas[Nº SALA],$M10,consultas[SEXO],O$1)</f>
        <v>2</v>
      </c>
      <c r="P10">
        <f>COUNTIF(consultas[Nº SALA],M10)</f>
        <v>2</v>
      </c>
    </row>
    <row r="11" spans="1:16" x14ac:dyDescent="0.25">
      <c r="A11" t="s">
        <v>37</v>
      </c>
      <c r="B11" s="1">
        <v>40913</v>
      </c>
      <c r="C11" t="s">
        <v>12</v>
      </c>
      <c r="D11">
        <v>29</v>
      </c>
      <c r="E11" s="2">
        <v>45000</v>
      </c>
      <c r="F11" t="s">
        <v>33</v>
      </c>
      <c r="G11" t="s">
        <v>20</v>
      </c>
      <c r="H11" t="s">
        <v>15</v>
      </c>
      <c r="I11" t="s">
        <v>16</v>
      </c>
      <c r="J11" t="s">
        <v>17</v>
      </c>
      <c r="K11">
        <v>105</v>
      </c>
      <c r="M11">
        <v>104</v>
      </c>
      <c r="N11">
        <f>COUNTIFS(consultas[Nº SALA],$M11,consultas[SEXO],N$1)</f>
        <v>4</v>
      </c>
      <c r="O11">
        <f>COUNTIFS(consultas[Nº SALA],$M11,consultas[SEXO],O$1)</f>
        <v>5</v>
      </c>
      <c r="P11">
        <f>COUNTIF(consultas[Nº SALA],M11)</f>
        <v>9</v>
      </c>
    </row>
    <row r="12" spans="1:16" x14ac:dyDescent="0.25">
      <c r="A12" t="s">
        <v>38</v>
      </c>
      <c r="B12" s="1">
        <v>40944</v>
      </c>
      <c r="C12" t="s">
        <v>25</v>
      </c>
      <c r="D12">
        <v>31</v>
      </c>
      <c r="E12" s="2">
        <v>35000</v>
      </c>
      <c r="F12" t="s">
        <v>13</v>
      </c>
      <c r="G12" t="s">
        <v>27</v>
      </c>
      <c r="H12" t="s">
        <v>15</v>
      </c>
      <c r="I12" t="s">
        <v>22</v>
      </c>
      <c r="J12" t="s">
        <v>23</v>
      </c>
      <c r="K12">
        <v>104</v>
      </c>
      <c r="M12">
        <v>105</v>
      </c>
      <c r="N12">
        <f>COUNTIFS(consultas[Nº SALA],$M12,consultas[SEXO],N$1)</f>
        <v>6</v>
      </c>
      <c r="O12">
        <f>COUNTIFS(consultas[Nº SALA],$M12,consultas[SEXO],O$1)</f>
        <v>2</v>
      </c>
      <c r="P12">
        <f>COUNTIF(consultas[Nº SALA],M12)</f>
        <v>8</v>
      </c>
    </row>
    <row r="13" spans="1:16" x14ac:dyDescent="0.25">
      <c r="A13" t="s">
        <v>39</v>
      </c>
      <c r="B13" s="1">
        <v>40973</v>
      </c>
      <c r="C13" t="s">
        <v>25</v>
      </c>
      <c r="D13">
        <v>45</v>
      </c>
      <c r="E13" s="2">
        <v>35000</v>
      </c>
      <c r="F13" t="s">
        <v>19</v>
      </c>
      <c r="G13" t="s">
        <v>30</v>
      </c>
      <c r="H13" t="s">
        <v>21</v>
      </c>
      <c r="I13" t="s">
        <v>28</v>
      </c>
      <c r="J13" t="s">
        <v>24</v>
      </c>
      <c r="K13">
        <v>101</v>
      </c>
      <c r="M13">
        <v>106</v>
      </c>
      <c r="N13">
        <f>COUNTIFS(consultas[Nº SALA],$M13,consultas[SEXO],N$1)</f>
        <v>0</v>
      </c>
      <c r="O13">
        <f>COUNTIFS(consultas[Nº SALA],$M13,consultas[SEXO],O$1)</f>
        <v>0</v>
      </c>
      <c r="P13">
        <f>COUNTIF(consultas[Nº SALA],M13)</f>
        <v>0</v>
      </c>
    </row>
    <row r="14" spans="1:16" x14ac:dyDescent="0.25">
      <c r="A14" t="s">
        <v>40</v>
      </c>
      <c r="B14" s="1">
        <v>40913</v>
      </c>
      <c r="C14" t="s">
        <v>25</v>
      </c>
      <c r="D14">
        <v>42</v>
      </c>
      <c r="E14" s="2">
        <v>25000</v>
      </c>
      <c r="F14" t="s">
        <v>26</v>
      </c>
      <c r="G14" t="s">
        <v>14</v>
      </c>
      <c r="H14" t="s">
        <v>15</v>
      </c>
      <c r="I14" t="s">
        <v>16</v>
      </c>
      <c r="J14" t="s">
        <v>17</v>
      </c>
      <c r="K14">
        <v>102</v>
      </c>
      <c r="M14" t="s">
        <v>72</v>
      </c>
      <c r="N14">
        <f>SUBTOTAL(109,sala_numeros[M])</f>
        <v>19</v>
      </c>
      <c r="O14">
        <f>SUBTOTAL(109,sala_numeros[F])</f>
        <v>17</v>
      </c>
      <c r="P14">
        <f>SUBTOTAL(109,sala_numeros[Total])</f>
        <v>36</v>
      </c>
    </row>
    <row r="15" spans="1:16" x14ac:dyDescent="0.25">
      <c r="A15" t="s">
        <v>41</v>
      </c>
      <c r="B15" s="1">
        <v>40944</v>
      </c>
      <c r="C15" t="s">
        <v>12</v>
      </c>
      <c r="D15">
        <v>35</v>
      </c>
      <c r="E15" s="2">
        <v>45000</v>
      </c>
      <c r="F15" t="s">
        <v>29</v>
      </c>
      <c r="G15" t="s">
        <v>20</v>
      </c>
      <c r="H15" t="s">
        <v>31</v>
      </c>
      <c r="I15" t="s">
        <v>22</v>
      </c>
      <c r="J15" t="s">
        <v>23</v>
      </c>
      <c r="K15">
        <v>105</v>
      </c>
    </row>
    <row r="16" spans="1:16" x14ac:dyDescent="0.25">
      <c r="A16" t="s">
        <v>42</v>
      </c>
      <c r="B16" s="1">
        <v>40973</v>
      </c>
      <c r="C16" t="s">
        <v>12</v>
      </c>
      <c r="D16">
        <v>42</v>
      </c>
      <c r="E16" s="2">
        <v>38000</v>
      </c>
      <c r="F16" t="s">
        <v>33</v>
      </c>
      <c r="G16" t="s">
        <v>27</v>
      </c>
      <c r="H16" t="s">
        <v>15</v>
      </c>
      <c r="I16" t="s">
        <v>28</v>
      </c>
      <c r="J16" t="s">
        <v>24</v>
      </c>
      <c r="K16">
        <v>104</v>
      </c>
    </row>
    <row r="17" spans="1:11" x14ac:dyDescent="0.25">
      <c r="A17" t="s">
        <v>43</v>
      </c>
      <c r="B17" s="1">
        <v>40913</v>
      </c>
      <c r="C17" t="s">
        <v>12</v>
      </c>
      <c r="D17">
        <v>45</v>
      </c>
      <c r="E17" s="2">
        <v>45000</v>
      </c>
      <c r="F17" t="s">
        <v>13</v>
      </c>
      <c r="G17" t="s">
        <v>30</v>
      </c>
      <c r="H17" t="s">
        <v>15</v>
      </c>
      <c r="I17" t="s">
        <v>16</v>
      </c>
      <c r="J17" t="s">
        <v>17</v>
      </c>
      <c r="K17">
        <v>101</v>
      </c>
    </row>
    <row r="18" spans="1:11" x14ac:dyDescent="0.25">
      <c r="A18" t="s">
        <v>44</v>
      </c>
      <c r="B18" s="1">
        <v>40944</v>
      </c>
      <c r="C18" t="s">
        <v>12</v>
      </c>
      <c r="D18">
        <v>35</v>
      </c>
      <c r="E18" s="2">
        <v>75000</v>
      </c>
      <c r="F18" t="s">
        <v>19</v>
      </c>
      <c r="G18" t="s">
        <v>14</v>
      </c>
      <c r="H18" t="s">
        <v>21</v>
      </c>
      <c r="I18" t="s">
        <v>22</v>
      </c>
      <c r="J18" t="s">
        <v>23</v>
      </c>
      <c r="K18">
        <v>102</v>
      </c>
    </row>
    <row r="19" spans="1:11" x14ac:dyDescent="0.25">
      <c r="A19" t="s">
        <v>45</v>
      </c>
      <c r="B19" s="1">
        <v>40973</v>
      </c>
      <c r="C19" t="s">
        <v>25</v>
      </c>
      <c r="D19">
        <v>36</v>
      </c>
      <c r="E19" s="2">
        <v>35000</v>
      </c>
      <c r="F19" t="s">
        <v>26</v>
      </c>
      <c r="G19" t="s">
        <v>20</v>
      </c>
      <c r="H19" t="s">
        <v>15</v>
      </c>
      <c r="I19" t="s">
        <v>28</v>
      </c>
      <c r="J19" t="s">
        <v>24</v>
      </c>
      <c r="K19">
        <v>105</v>
      </c>
    </row>
    <row r="20" spans="1:11" x14ac:dyDescent="0.25">
      <c r="A20" t="s">
        <v>46</v>
      </c>
      <c r="B20" s="1">
        <v>40913</v>
      </c>
      <c r="C20" t="s">
        <v>12</v>
      </c>
      <c r="D20">
        <v>25</v>
      </c>
      <c r="E20" s="2">
        <v>45000</v>
      </c>
      <c r="F20" t="s">
        <v>29</v>
      </c>
      <c r="G20" t="s">
        <v>27</v>
      </c>
      <c r="H20" t="s">
        <v>31</v>
      </c>
      <c r="I20" t="s">
        <v>16</v>
      </c>
      <c r="J20" t="s">
        <v>17</v>
      </c>
      <c r="K20">
        <v>104</v>
      </c>
    </row>
    <row r="21" spans="1:11" x14ac:dyDescent="0.25">
      <c r="A21" t="s">
        <v>47</v>
      </c>
      <c r="B21" s="1">
        <v>40944</v>
      </c>
      <c r="C21" t="s">
        <v>25</v>
      </c>
      <c r="D21">
        <v>27</v>
      </c>
      <c r="E21" s="2">
        <v>35000</v>
      </c>
      <c r="F21" t="s">
        <v>33</v>
      </c>
      <c r="G21" t="s">
        <v>30</v>
      </c>
      <c r="H21" t="s">
        <v>15</v>
      </c>
      <c r="I21" t="s">
        <v>22</v>
      </c>
      <c r="J21" t="s">
        <v>23</v>
      </c>
      <c r="K21">
        <v>101</v>
      </c>
    </row>
    <row r="22" spans="1:11" x14ac:dyDescent="0.25">
      <c r="A22" t="s">
        <v>48</v>
      </c>
      <c r="B22" s="1">
        <v>40973</v>
      </c>
      <c r="C22" t="s">
        <v>25</v>
      </c>
      <c r="D22">
        <v>28</v>
      </c>
      <c r="E22" s="2">
        <v>25000</v>
      </c>
      <c r="F22" t="s">
        <v>33</v>
      </c>
      <c r="G22" t="s">
        <v>14</v>
      </c>
      <c r="H22" t="s">
        <v>21</v>
      </c>
      <c r="I22" t="s">
        <v>28</v>
      </c>
      <c r="J22" t="s">
        <v>24</v>
      </c>
      <c r="K22">
        <v>103</v>
      </c>
    </row>
    <row r="23" spans="1:11" x14ac:dyDescent="0.25">
      <c r="A23" t="s">
        <v>49</v>
      </c>
      <c r="B23" s="1">
        <v>40913</v>
      </c>
      <c r="C23" t="s">
        <v>25</v>
      </c>
      <c r="D23">
        <v>23</v>
      </c>
      <c r="E23" s="2">
        <v>45000</v>
      </c>
      <c r="F23" t="s">
        <v>19</v>
      </c>
      <c r="G23" t="s">
        <v>27</v>
      </c>
      <c r="H23" t="s">
        <v>21</v>
      </c>
      <c r="I23" t="s">
        <v>16</v>
      </c>
      <c r="J23" t="s">
        <v>17</v>
      </c>
      <c r="K23">
        <v>104</v>
      </c>
    </row>
    <row r="24" spans="1:11" x14ac:dyDescent="0.25">
      <c r="A24" t="s">
        <v>50</v>
      </c>
      <c r="B24" s="1">
        <v>40944</v>
      </c>
      <c r="C24" t="s">
        <v>25</v>
      </c>
      <c r="D24">
        <v>25</v>
      </c>
      <c r="E24" s="2">
        <v>75000</v>
      </c>
      <c r="F24" t="s">
        <v>26</v>
      </c>
      <c r="G24" t="s">
        <v>30</v>
      </c>
      <c r="H24" t="s">
        <v>15</v>
      </c>
      <c r="I24" t="s">
        <v>22</v>
      </c>
      <c r="J24" t="s">
        <v>23</v>
      </c>
      <c r="K24">
        <v>101</v>
      </c>
    </row>
    <row r="25" spans="1:11" x14ac:dyDescent="0.25">
      <c r="A25" t="s">
        <v>51</v>
      </c>
      <c r="B25" s="1">
        <v>40973</v>
      </c>
      <c r="C25" t="s">
        <v>12</v>
      </c>
      <c r="D25">
        <v>28</v>
      </c>
      <c r="E25" s="2">
        <v>35000</v>
      </c>
      <c r="F25" t="s">
        <v>29</v>
      </c>
      <c r="G25" t="s">
        <v>14</v>
      </c>
      <c r="H25" t="s">
        <v>31</v>
      </c>
      <c r="I25" t="s">
        <v>28</v>
      </c>
      <c r="J25" t="s">
        <v>24</v>
      </c>
      <c r="K25">
        <v>102</v>
      </c>
    </row>
    <row r="26" spans="1:11" x14ac:dyDescent="0.25">
      <c r="A26" t="s">
        <v>52</v>
      </c>
      <c r="B26" s="1">
        <v>40913</v>
      </c>
      <c r="C26" t="s">
        <v>12</v>
      </c>
      <c r="D26">
        <v>29</v>
      </c>
      <c r="E26" s="2">
        <v>45000</v>
      </c>
      <c r="F26" t="s">
        <v>13</v>
      </c>
      <c r="G26" t="s">
        <v>20</v>
      </c>
      <c r="H26" t="s">
        <v>15</v>
      </c>
      <c r="I26" t="s">
        <v>16</v>
      </c>
      <c r="J26" t="s">
        <v>17</v>
      </c>
      <c r="K26">
        <v>105</v>
      </c>
    </row>
    <row r="27" spans="1:11" x14ac:dyDescent="0.25">
      <c r="A27" t="s">
        <v>53</v>
      </c>
      <c r="B27" s="1">
        <v>40944</v>
      </c>
      <c r="C27" t="s">
        <v>25</v>
      </c>
      <c r="D27">
        <v>31</v>
      </c>
      <c r="E27" s="2">
        <v>35000</v>
      </c>
      <c r="F27" t="s">
        <v>13</v>
      </c>
      <c r="G27" t="s">
        <v>27</v>
      </c>
      <c r="H27" t="s">
        <v>15</v>
      </c>
      <c r="I27" t="s">
        <v>22</v>
      </c>
      <c r="J27" t="s">
        <v>23</v>
      </c>
      <c r="K27">
        <v>104</v>
      </c>
    </row>
    <row r="28" spans="1:11" x14ac:dyDescent="0.25">
      <c r="A28" t="s">
        <v>54</v>
      </c>
      <c r="B28" s="1">
        <v>40973</v>
      </c>
      <c r="C28" t="s">
        <v>25</v>
      </c>
      <c r="D28">
        <v>45</v>
      </c>
      <c r="E28" s="2">
        <v>35000</v>
      </c>
      <c r="F28" t="s">
        <v>19</v>
      </c>
      <c r="G28" t="s">
        <v>30</v>
      </c>
      <c r="H28" t="s">
        <v>21</v>
      </c>
      <c r="I28" t="s">
        <v>28</v>
      </c>
      <c r="J28" t="s">
        <v>24</v>
      </c>
      <c r="K28">
        <v>101</v>
      </c>
    </row>
    <row r="29" spans="1:11" x14ac:dyDescent="0.25">
      <c r="A29" t="s">
        <v>55</v>
      </c>
      <c r="B29" s="1">
        <v>40913</v>
      </c>
      <c r="C29" t="s">
        <v>25</v>
      </c>
      <c r="D29">
        <v>42</v>
      </c>
      <c r="E29" s="2">
        <v>25000</v>
      </c>
      <c r="F29" t="s">
        <v>26</v>
      </c>
      <c r="G29" t="s">
        <v>14</v>
      </c>
      <c r="H29" t="s">
        <v>15</v>
      </c>
      <c r="I29" t="s">
        <v>16</v>
      </c>
      <c r="J29" t="s">
        <v>17</v>
      </c>
      <c r="K29">
        <v>102</v>
      </c>
    </row>
    <row r="30" spans="1:11" x14ac:dyDescent="0.25">
      <c r="A30" t="s">
        <v>56</v>
      </c>
      <c r="B30" s="1">
        <v>40944</v>
      </c>
      <c r="C30" t="s">
        <v>12</v>
      </c>
      <c r="D30">
        <v>35</v>
      </c>
      <c r="E30" s="2">
        <v>45000</v>
      </c>
      <c r="F30" t="s">
        <v>29</v>
      </c>
      <c r="G30" t="s">
        <v>20</v>
      </c>
      <c r="H30" t="s">
        <v>31</v>
      </c>
      <c r="I30" t="s">
        <v>22</v>
      </c>
      <c r="J30" t="s">
        <v>23</v>
      </c>
      <c r="K30">
        <v>105</v>
      </c>
    </row>
    <row r="31" spans="1:11" x14ac:dyDescent="0.25">
      <c r="A31" t="s">
        <v>57</v>
      </c>
      <c r="B31" s="1">
        <v>40973</v>
      </c>
      <c r="C31" t="s">
        <v>12</v>
      </c>
      <c r="D31">
        <v>42</v>
      </c>
      <c r="E31" s="2">
        <v>38000</v>
      </c>
      <c r="F31" t="s">
        <v>33</v>
      </c>
      <c r="G31" t="s">
        <v>27</v>
      </c>
      <c r="H31" t="s">
        <v>15</v>
      </c>
      <c r="I31" t="s">
        <v>28</v>
      </c>
      <c r="J31" t="s">
        <v>24</v>
      </c>
      <c r="K31">
        <v>104</v>
      </c>
    </row>
    <row r="32" spans="1:11" x14ac:dyDescent="0.25">
      <c r="A32" t="s">
        <v>58</v>
      </c>
      <c r="B32" s="1">
        <v>40913</v>
      </c>
      <c r="C32" t="s">
        <v>12</v>
      </c>
      <c r="D32">
        <v>45</v>
      </c>
      <c r="E32" s="2">
        <v>45000</v>
      </c>
      <c r="F32" t="s">
        <v>13</v>
      </c>
      <c r="G32" t="s">
        <v>30</v>
      </c>
      <c r="H32" t="s">
        <v>15</v>
      </c>
      <c r="I32" t="s">
        <v>16</v>
      </c>
      <c r="J32" t="s">
        <v>17</v>
      </c>
      <c r="K32">
        <v>101</v>
      </c>
    </row>
    <row r="33" spans="1:11" x14ac:dyDescent="0.25">
      <c r="A33" t="s">
        <v>59</v>
      </c>
      <c r="B33" s="1">
        <v>40944</v>
      </c>
      <c r="C33" t="s">
        <v>12</v>
      </c>
      <c r="D33">
        <v>35</v>
      </c>
      <c r="E33" s="2">
        <v>75000</v>
      </c>
      <c r="F33" t="s">
        <v>19</v>
      </c>
      <c r="G33" t="s">
        <v>14</v>
      </c>
      <c r="H33" t="s">
        <v>21</v>
      </c>
      <c r="I33" t="s">
        <v>22</v>
      </c>
      <c r="J33" t="s">
        <v>23</v>
      </c>
      <c r="K33">
        <v>102</v>
      </c>
    </row>
    <row r="34" spans="1:11" x14ac:dyDescent="0.25">
      <c r="A34" t="s">
        <v>60</v>
      </c>
      <c r="B34" s="1">
        <v>40973</v>
      </c>
      <c r="C34" t="s">
        <v>25</v>
      </c>
      <c r="D34">
        <v>36</v>
      </c>
      <c r="E34" s="2">
        <v>35000</v>
      </c>
      <c r="F34" t="s">
        <v>26</v>
      </c>
      <c r="G34" t="s">
        <v>20</v>
      </c>
      <c r="H34" t="s">
        <v>15</v>
      </c>
      <c r="I34" t="s">
        <v>28</v>
      </c>
      <c r="J34" t="s">
        <v>24</v>
      </c>
      <c r="K34">
        <v>105</v>
      </c>
    </row>
    <row r="35" spans="1:11" x14ac:dyDescent="0.25">
      <c r="A35" t="s">
        <v>61</v>
      </c>
      <c r="B35" s="1">
        <v>40913</v>
      </c>
      <c r="C35" t="s">
        <v>12</v>
      </c>
      <c r="D35">
        <v>25</v>
      </c>
      <c r="E35" s="2">
        <v>45000</v>
      </c>
      <c r="F35" t="s">
        <v>29</v>
      </c>
      <c r="G35" t="s">
        <v>27</v>
      </c>
      <c r="H35" t="s">
        <v>31</v>
      </c>
      <c r="I35" t="s">
        <v>16</v>
      </c>
      <c r="J35" t="s">
        <v>17</v>
      </c>
      <c r="K35">
        <v>104</v>
      </c>
    </row>
    <row r="36" spans="1:11" x14ac:dyDescent="0.25">
      <c r="A36" t="s">
        <v>41</v>
      </c>
      <c r="B36" s="1">
        <v>44810</v>
      </c>
      <c r="C36" t="s">
        <v>12</v>
      </c>
      <c r="D36">
        <v>45</v>
      </c>
      <c r="E36" s="2">
        <v>25000</v>
      </c>
      <c r="F36" t="s">
        <v>26</v>
      </c>
      <c r="G36" t="s">
        <v>30</v>
      </c>
      <c r="H36" t="s">
        <v>15</v>
      </c>
      <c r="I36" t="s">
        <v>16</v>
      </c>
      <c r="J36" t="s">
        <v>24</v>
      </c>
      <c r="K36">
        <v>102</v>
      </c>
    </row>
    <row r="37" spans="1:11" x14ac:dyDescent="0.25">
      <c r="A37" t="s">
        <v>32</v>
      </c>
      <c r="B37" s="1">
        <v>44839</v>
      </c>
      <c r="C37" t="s">
        <v>25</v>
      </c>
      <c r="D37">
        <v>60</v>
      </c>
      <c r="E37" s="2">
        <v>35000</v>
      </c>
      <c r="F37" t="s">
        <v>13</v>
      </c>
      <c r="G37" t="s">
        <v>14</v>
      </c>
      <c r="H37" t="s">
        <v>15</v>
      </c>
      <c r="I37" t="s">
        <v>28</v>
      </c>
      <c r="J37" t="s">
        <v>23</v>
      </c>
      <c r="K37">
        <v>103</v>
      </c>
    </row>
    <row r="38" spans="1:11" x14ac:dyDescent="0.25">
      <c r="B38" s="1"/>
      <c r="E38" s="2"/>
    </row>
    <row r="39" spans="1:11" x14ac:dyDescent="0.25">
      <c r="B39" s="1"/>
      <c r="E39" s="2"/>
    </row>
    <row r="40" spans="1:11" x14ac:dyDescent="0.25">
      <c r="B40" s="1"/>
      <c r="E40" s="2"/>
    </row>
  </sheetData>
  <dataValidations count="3">
    <dataValidation type="whole" allowBlank="1" showInputMessage="1" showErrorMessage="1" sqref="D1:D1048576" xr:uid="{427C2D7E-0C27-4850-BE7B-03732A034458}">
      <formula1>0</formula1>
      <formula2>125</formula2>
    </dataValidation>
    <dataValidation type="decimal" operator="greaterThanOrEqual" allowBlank="1" showInputMessage="1" showErrorMessage="1" sqref="E1:E1048576" xr:uid="{68DE5A47-6E7D-4191-8B0A-486F24F73547}">
      <formula1>0</formula1>
    </dataValidation>
    <dataValidation type="list" allowBlank="1" showInputMessage="1" showErrorMessage="1" sqref="I1:I1048576" xr:uid="{505E8C43-EE5E-4059-9F21-6ABA5F785484}">
      <formula1>$M$2:$M$4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62A329-10DC-4280-8EBF-F0ACD8B8D2C9}">
          <x14:formula1>
            <xm:f>Diag.!$A$2:$A$4</xm:f>
          </x14:formula1>
          <xm:sqref>H1:H37</xm:sqref>
        </x14:dataValidation>
        <x14:dataValidation type="list" allowBlank="1" showInputMessage="1" showErrorMessage="1" xr:uid="{E438D341-FC26-495A-A94E-630E2A99E7E4}">
          <x14:formula1>
            <xm:f>EPS!$A$2:$A$5</xm:f>
          </x14:formula1>
          <xm:sqref>G1:G1048576</xm:sqref>
        </x14:dataValidation>
        <x14:dataValidation type="list" allowBlank="1" showInputMessage="1" showErrorMessage="1" xr:uid="{08906839-1BF7-4368-9342-684F1E202E83}">
          <x14:formula1>
            <xm:f>Sintomas!$A$2:$A$10001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5362-3890-46CF-8427-5C070E9135CC}">
  <dimension ref="A1:D8"/>
  <sheetViews>
    <sheetView zoomScaleNormal="100" workbookViewId="0">
      <selection activeCell="K12" sqref="K12"/>
    </sheetView>
  </sheetViews>
  <sheetFormatPr baseColWidth="10" defaultRowHeight="15" x14ac:dyDescent="0.25"/>
  <cols>
    <col min="1" max="1" width="17.28515625" bestFit="1" customWidth="1"/>
    <col min="2" max="2" width="5.140625" bestFit="1" customWidth="1"/>
    <col min="3" max="3" width="4.28515625" bestFit="1" customWidth="1"/>
    <col min="4" max="5" width="7" bestFit="1" customWidth="1"/>
  </cols>
  <sheetData>
    <row r="1" spans="1:4" x14ac:dyDescent="0.25">
      <c r="A1" s="11" t="s">
        <v>76</v>
      </c>
      <c r="B1" s="12" t="s">
        <v>12</v>
      </c>
      <c r="C1" s="12" t="s">
        <v>25</v>
      </c>
      <c r="D1" s="12" t="s">
        <v>77</v>
      </c>
    </row>
    <row r="2" spans="1:4" x14ac:dyDescent="0.25">
      <c r="A2" s="13" t="s">
        <v>13</v>
      </c>
      <c r="B2" s="12">
        <f>COUNTIFS(consultas[SINTOMAS],sintomas[[#This Row],[nombre]],consultas[SEXO],sintomas[[#Headers],[M]])</f>
        <v>5</v>
      </c>
      <c r="C2" s="12">
        <f>COUNTIFS(consultas[SINTOMAS],sintomas[[#This Row],[nombre]],consultas[SEXO],sintomas[[#Headers],[F]])</f>
        <v>3</v>
      </c>
      <c r="D2" s="12">
        <f>COUNTIF(consultas[SINTOMAS],A2)</f>
        <v>8</v>
      </c>
    </row>
    <row r="3" spans="1:4" x14ac:dyDescent="0.25">
      <c r="A3" s="13" t="s">
        <v>19</v>
      </c>
      <c r="B3" s="12">
        <f>COUNTIFS(consultas[SINTOMAS],sintomas[[#This Row],[nombre]],consultas[SEXO],sintomas[[#Headers],[M]])</f>
        <v>3</v>
      </c>
      <c r="C3" s="12">
        <f>COUNTIFS(consultas[SINTOMAS],sintomas[[#This Row],[nombre]],consultas[SEXO],sintomas[[#Headers],[F]])</f>
        <v>4</v>
      </c>
      <c r="D3" s="12">
        <f>COUNTIF(consultas[SINTOMAS],A3)</f>
        <v>7</v>
      </c>
    </row>
    <row r="4" spans="1:4" x14ac:dyDescent="0.25">
      <c r="A4" s="13" t="s">
        <v>26</v>
      </c>
      <c r="B4" s="12">
        <f>COUNTIFS(consultas[SINTOMAS],sintomas[[#This Row],[nombre]],consultas[SEXO],sintomas[[#Headers],[M]])</f>
        <v>1</v>
      </c>
      <c r="C4" s="12">
        <f>COUNTIFS(consultas[SINTOMAS],sintomas[[#This Row],[nombre]],consultas[SEXO],sintomas[[#Headers],[F]])</f>
        <v>7</v>
      </c>
      <c r="D4" s="12">
        <f>COUNTIF(consultas[SINTOMAS],A4)</f>
        <v>8</v>
      </c>
    </row>
    <row r="5" spans="1:4" x14ac:dyDescent="0.25">
      <c r="A5" s="13" t="s">
        <v>29</v>
      </c>
      <c r="B5" s="12">
        <f>COUNTIFS(consultas[SINTOMAS],sintomas[[#This Row],[nombre]],consultas[SEXO],sintomas[[#Headers],[M]])</f>
        <v>7</v>
      </c>
      <c r="C5" s="12">
        <f>COUNTIFS(consultas[SINTOMAS],sintomas[[#This Row],[nombre]],consultas[SEXO],sintomas[[#Headers],[F]])</f>
        <v>0</v>
      </c>
      <c r="D5" s="12">
        <f>COUNTIF(consultas[SINTOMAS],A5)</f>
        <v>7</v>
      </c>
    </row>
    <row r="6" spans="1:4" x14ac:dyDescent="0.25">
      <c r="A6" s="13" t="s">
        <v>33</v>
      </c>
      <c r="B6" s="12">
        <f>COUNTIFS(consultas[SINTOMAS],sintomas[[#This Row],[nombre]],consultas[SEXO],sintomas[[#Headers],[M]])</f>
        <v>3</v>
      </c>
      <c r="C6" s="12">
        <f>COUNTIFS(consultas[SINTOMAS],sintomas[[#This Row],[nombre]],consultas[SEXO],sintomas[[#Headers],[F]])</f>
        <v>3</v>
      </c>
      <c r="D6" s="12">
        <f>COUNTIF(consultas[SINTOMAS],A6)</f>
        <v>6</v>
      </c>
    </row>
    <row r="7" spans="1:4" x14ac:dyDescent="0.25">
      <c r="A7" s="14" t="s">
        <v>78</v>
      </c>
      <c r="B7" s="12">
        <f>COUNTIFS(consultas[SINTOMAS],sintomas[[#This Row],[nombre]],consultas[SEXO],sintomas[[#Headers],[M]])</f>
        <v>0</v>
      </c>
      <c r="C7" s="12">
        <f>COUNTIFS(consultas[SINTOMAS],sintomas[[#This Row],[nombre]],consultas[SEXO],sintomas[[#Headers],[F]])</f>
        <v>0</v>
      </c>
      <c r="D7" s="15">
        <f>COUNTIF(consultas[SINTOMAS],A7)</f>
        <v>0</v>
      </c>
    </row>
    <row r="8" spans="1:4" x14ac:dyDescent="0.25">
      <c r="A8" s="16" t="s">
        <v>72</v>
      </c>
      <c r="B8" s="12">
        <f>SUBTOTAL(109,sintomas[M])</f>
        <v>19</v>
      </c>
      <c r="C8" s="12">
        <f>SUBTOTAL(109,sintomas[F])</f>
        <v>17</v>
      </c>
      <c r="D8" s="12">
        <f>SUBTOTAL(109,sintomas[cant])</f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0C24-ECBC-4716-8AEF-97E3F62FD32B}">
  <dimension ref="A1:D6"/>
  <sheetViews>
    <sheetView zoomScale="130" zoomScaleNormal="130" workbookViewId="0">
      <selection activeCell="M6" sqref="M6"/>
    </sheetView>
  </sheetViews>
  <sheetFormatPr baseColWidth="10" defaultRowHeight="15" x14ac:dyDescent="0.25"/>
  <cols>
    <col min="1" max="1" width="13" bestFit="1" customWidth="1"/>
    <col min="2" max="2" width="5.140625" bestFit="1" customWidth="1"/>
    <col min="3" max="3" width="4.28515625" bestFit="1" customWidth="1"/>
    <col min="4" max="4" width="7" bestFit="1" customWidth="1"/>
  </cols>
  <sheetData>
    <row r="1" spans="1:4" x14ac:dyDescent="0.25">
      <c r="A1" t="s">
        <v>76</v>
      </c>
      <c r="B1" t="s">
        <v>12</v>
      </c>
      <c r="C1" t="s">
        <v>25</v>
      </c>
      <c r="D1" t="s">
        <v>77</v>
      </c>
    </row>
    <row r="2" spans="1:4" x14ac:dyDescent="0.25">
      <c r="A2" t="s">
        <v>20</v>
      </c>
      <c r="B2">
        <f>COUNTIFS(consultas[EPS],eps[[#This Row],[nombre]],consultas[SEXO],eps[[#Headers],[M]])</f>
        <v>6</v>
      </c>
      <c r="C2">
        <f>COUNTIFS(consultas[EPS],eps[[#This Row],[nombre]],consultas[SEXO],eps[[#Headers],[F]])</f>
        <v>2</v>
      </c>
      <c r="D2">
        <f>COUNTIF(consultas[EPS],eps[[#This Row],[nombre]])</f>
        <v>8</v>
      </c>
    </row>
    <row r="3" spans="1:4" x14ac:dyDescent="0.25">
      <c r="A3" t="s">
        <v>27</v>
      </c>
      <c r="B3">
        <f>COUNTIFS(consultas[EPS],eps[[#This Row],[nombre]],consultas[SEXO],eps[[#Headers],[M]])</f>
        <v>4</v>
      </c>
      <c r="C3">
        <f>COUNTIFS(consultas[EPS],eps[[#This Row],[nombre]],consultas[SEXO],eps[[#Headers],[F]])</f>
        <v>5</v>
      </c>
      <c r="D3">
        <f>COUNTIF(consultas[EPS],eps[[#This Row],[nombre]])</f>
        <v>9</v>
      </c>
    </row>
    <row r="4" spans="1:4" x14ac:dyDescent="0.25">
      <c r="A4" t="s">
        <v>30</v>
      </c>
      <c r="B4">
        <f>COUNTIFS(consultas[EPS],eps[[#This Row],[nombre]],consultas[SEXO],eps[[#Headers],[M]])</f>
        <v>4</v>
      </c>
      <c r="C4">
        <f>COUNTIFS(consultas[EPS],eps[[#This Row],[nombre]],consultas[SEXO],eps[[#Headers],[F]])</f>
        <v>5</v>
      </c>
      <c r="D4">
        <f>COUNTIF(consultas[EPS],eps[[#This Row],[nombre]])</f>
        <v>9</v>
      </c>
    </row>
    <row r="5" spans="1:4" x14ac:dyDescent="0.25">
      <c r="A5" t="s">
        <v>14</v>
      </c>
      <c r="B5">
        <f>COUNTIFS(consultas[EPS],eps[[#This Row],[nombre]],consultas[SEXO],eps[[#Headers],[M]])</f>
        <v>5</v>
      </c>
      <c r="C5">
        <f>COUNTIFS(consultas[EPS],eps[[#This Row],[nombre]],consultas[SEXO],eps[[#Headers],[F]])</f>
        <v>5</v>
      </c>
      <c r="D5">
        <f>COUNTIF(consultas[EPS],eps[[#This Row],[nombre]])</f>
        <v>10</v>
      </c>
    </row>
    <row r="6" spans="1:4" x14ac:dyDescent="0.25">
      <c r="A6" t="s">
        <v>72</v>
      </c>
      <c r="B6">
        <f>SUBTOTAL(109,eps[M])</f>
        <v>19</v>
      </c>
      <c r="C6">
        <f>SUBTOTAL(109,eps[F])</f>
        <v>17</v>
      </c>
      <c r="D6">
        <f>SUBTOTAL(109,eps[cant])</f>
        <v>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0DD9-DAE3-4B05-8D11-C395538864D8}">
  <dimension ref="A1:D5"/>
  <sheetViews>
    <sheetView zoomScale="160" zoomScaleNormal="160" workbookViewId="0">
      <selection activeCell="E2" sqref="E2"/>
    </sheetView>
  </sheetViews>
  <sheetFormatPr baseColWidth="10" defaultRowHeight="15" x14ac:dyDescent="0.25"/>
  <cols>
    <col min="1" max="1" width="17" bestFit="1" customWidth="1"/>
    <col min="2" max="2" width="5.140625" bestFit="1" customWidth="1"/>
    <col min="3" max="3" width="4.28515625" bestFit="1" customWidth="1"/>
    <col min="4" max="4" width="7" bestFit="1" customWidth="1"/>
  </cols>
  <sheetData>
    <row r="1" spans="1:4" x14ac:dyDescent="0.25">
      <c r="A1" s="3" t="s">
        <v>76</v>
      </c>
      <c r="B1" s="7" t="s">
        <v>12</v>
      </c>
      <c r="C1" s="7" t="s">
        <v>25</v>
      </c>
      <c r="D1" t="s">
        <v>77</v>
      </c>
    </row>
    <row r="2" spans="1:4" x14ac:dyDescent="0.25">
      <c r="A2" s="4" t="s">
        <v>15</v>
      </c>
      <c r="B2">
        <f>COUNTIFS(consultas[DIAGNOSTICO],diagnostico[[#This Row],[nombre]],consultas[SEXO],diagnostico[[#Headers],[M]])</f>
        <v>9</v>
      </c>
      <c r="C2">
        <f>COUNTIFS(consultas[DIAGNOSTICO],diagnostico[[#This Row],[nombre]],consultas[SEXO],diagnostico[[#Headers],[F]])</f>
        <v>12</v>
      </c>
      <c r="D2">
        <f>COUNTIF(consultas[DIAGNOSTICO],diagnostico[[#This Row],[nombre]])</f>
        <v>21</v>
      </c>
    </row>
    <row r="3" spans="1:4" x14ac:dyDescent="0.25">
      <c r="A3" s="6" t="s">
        <v>21</v>
      </c>
      <c r="B3" s="17">
        <f>COUNTIFS(consultas[DIAGNOSTICO],diagnostico[[#This Row],[nombre]],consultas[SEXO],diagnostico[[#Headers],[M]])</f>
        <v>3</v>
      </c>
      <c r="C3" s="17">
        <f>COUNTIFS(consultas[DIAGNOSTICO],diagnostico[[#This Row],[nombre]],consultas[SEXO],diagnostico[[#Headers],[F]])</f>
        <v>5</v>
      </c>
      <c r="D3">
        <f>COUNTIF(consultas[DIAGNOSTICO],diagnostico[[#This Row],[nombre]])</f>
        <v>8</v>
      </c>
    </row>
    <row r="4" spans="1:4" x14ac:dyDescent="0.25">
      <c r="A4" s="6" t="s">
        <v>31</v>
      </c>
      <c r="B4" s="17">
        <f>COUNTIFS(consultas[DIAGNOSTICO],diagnostico[[#This Row],[nombre]],consultas[SEXO],diagnostico[[#Headers],[M]])</f>
        <v>7</v>
      </c>
      <c r="C4" s="17">
        <f>COUNTIFS(consultas[DIAGNOSTICO],diagnostico[[#This Row],[nombre]],consultas[SEXO],diagnostico[[#Headers],[F]])</f>
        <v>0</v>
      </c>
      <c r="D4">
        <f>COUNTIF(consultas[DIAGNOSTICO],diagnostico[[#This Row],[nombre]])</f>
        <v>7</v>
      </c>
    </row>
    <row r="5" spans="1:4" x14ac:dyDescent="0.25">
      <c r="A5" s="17" t="s">
        <v>72</v>
      </c>
      <c r="B5">
        <f>SUBTOTAL(109,diagnostico[M])</f>
        <v>19</v>
      </c>
      <c r="C5">
        <f>SUBTOTAL(109,diagnostico[F])</f>
        <v>17</v>
      </c>
      <c r="D5">
        <f>SUBTOTAL(109,diagnostico[cant])</f>
        <v>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D760-6740-4E33-90A6-9BF78E4DF061}">
  <dimension ref="A1:K11"/>
  <sheetViews>
    <sheetView zoomScale="130" zoomScaleNormal="130" workbookViewId="0">
      <selection activeCell="H9" sqref="H9"/>
    </sheetView>
  </sheetViews>
  <sheetFormatPr baseColWidth="10" defaultRowHeight="15" x14ac:dyDescent="0.25"/>
  <cols>
    <col min="1" max="1" width="10.85546875" customWidth="1"/>
    <col min="2" max="2" width="17.140625" customWidth="1"/>
    <col min="3" max="3" width="6.85546875" customWidth="1"/>
    <col min="4" max="4" width="7.42578125" customWidth="1"/>
    <col min="5" max="5" width="18.28515625" customWidth="1"/>
    <col min="6" max="6" width="12" customWidth="1"/>
    <col min="7" max="7" width="5.42578125" customWidth="1"/>
    <col min="8" max="8" width="14.85546875" customWidth="1"/>
    <col min="9" max="9" width="6.85546875" customWidth="1"/>
    <col min="10" max="11" width="9.7109375" customWidth="1"/>
    <col min="12" max="12" width="8.140625" bestFit="1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x14ac:dyDescent="0.25">
      <c r="A2" s="8"/>
      <c r="B2" s="9"/>
      <c r="C2" s="8"/>
      <c r="D2" s="8"/>
      <c r="E2" s="10"/>
      <c r="F2" s="8"/>
      <c r="G2" s="8"/>
      <c r="H2" s="8"/>
      <c r="I2" s="8"/>
      <c r="J2" s="8"/>
      <c r="K2" s="8"/>
    </row>
    <row r="3" spans="1:11" x14ac:dyDescent="0.25">
      <c r="B3" t="s">
        <v>70</v>
      </c>
      <c r="E3" t="s">
        <v>71</v>
      </c>
    </row>
    <row r="4" spans="1:11" x14ac:dyDescent="0.25">
      <c r="A4" t="s">
        <v>62</v>
      </c>
      <c r="B4">
        <f>DCOUNT('Consultas'!A:K,'Consultas'!E1,A1:K2)</f>
        <v>36</v>
      </c>
      <c r="E4">
        <f>DCOUNT(consultas[#All],'Consultas'!E1,condiciones[#All])</f>
        <v>36</v>
      </c>
    </row>
    <row r="5" spans="1:11" x14ac:dyDescent="0.25">
      <c r="A5" t="s">
        <v>63</v>
      </c>
      <c r="B5" s="5">
        <f>DAVERAGE('Consultas'!A:K,'Consultas'!E1,A1:K2)</f>
        <v>41361.111111111109</v>
      </c>
      <c r="E5" s="5">
        <f>DAVERAGE(consultas[#All],consultas[[#Headers],[VALOR CONSULTA]],condiciones[#All])</f>
        <v>41361.111111111109</v>
      </c>
    </row>
    <row r="6" spans="1:11" x14ac:dyDescent="0.25">
      <c r="A6" t="s">
        <v>64</v>
      </c>
      <c r="B6" s="5">
        <f>DMAX('Consultas'!A:K,'Consultas'!E1,A1:K2)</f>
        <v>75000</v>
      </c>
      <c r="E6" s="5">
        <f>DMAX(consultas[#All],consultas[[#Headers],[VALOR CONSULTA]],condiciones[#All])</f>
        <v>75000</v>
      </c>
    </row>
    <row r="7" spans="1:11" x14ac:dyDescent="0.25">
      <c r="A7" t="s">
        <v>65</v>
      </c>
      <c r="B7" s="5">
        <f>DMIN('Consultas'!A:K,'Consultas'!E1,A1:K2)</f>
        <v>25000</v>
      </c>
      <c r="E7" s="5">
        <f>DMIN(consultas[#All],consultas[[#Headers],[VALOR CONSULTA]],condiciones[#All])</f>
        <v>25000</v>
      </c>
    </row>
    <row r="8" spans="1:11" x14ac:dyDescent="0.25">
      <c r="A8" t="s">
        <v>66</v>
      </c>
      <c r="B8" s="5">
        <f>DSUM('Consultas'!A:K,'Consultas'!E1,A1:K2)</f>
        <v>1489000</v>
      </c>
      <c r="E8" s="5">
        <f>DSUM(consultas[#All],consultas[[#Headers],[VALOR CONSULTA]],condiciones[#All])</f>
        <v>1489000</v>
      </c>
    </row>
    <row r="10" spans="1:11" x14ac:dyDescent="0.25">
      <c r="A10" t="s">
        <v>67</v>
      </c>
      <c r="B10" t="s">
        <v>73</v>
      </c>
      <c r="E10" t="s">
        <v>74</v>
      </c>
    </row>
    <row r="11" spans="1:11" x14ac:dyDescent="0.25">
      <c r="A11" t="s">
        <v>68</v>
      </c>
      <c r="B11" t="s">
        <v>69</v>
      </c>
      <c r="E11" t="s">
        <v>75</v>
      </c>
    </row>
  </sheetData>
  <dataValidations count="1">
    <dataValidation type="decimal" operator="greaterThanOrEqual" allowBlank="1" showInputMessage="1" showErrorMessage="1" sqref="E2" xr:uid="{CDC7BA58-5C7D-4CF7-95AF-A4605705580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Consultas</vt:lpstr>
      <vt:lpstr>Sintomas</vt:lpstr>
      <vt:lpstr>EPS</vt:lpstr>
      <vt:lpstr>Diag.</vt:lpstr>
      <vt:lpstr>estadisticas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2022-12-15T14:54:01Z</dcterms:created>
  <dcterms:modified xsi:type="dcterms:W3CDTF">2022-12-22T16:35:40Z</dcterms:modified>
</cp:coreProperties>
</file>