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69409F2D-016C-448C-9564-958F08D4D594}" xr6:coauthVersionLast="47" xr6:coauthVersionMax="47" xr10:uidLastSave="{00000000-0000-0000-0000-000000000000}"/>
  <bookViews>
    <workbookView xWindow="-120" yWindow="-120" windowWidth="20730" windowHeight="11040" tabRatio="487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Datos!$G$2</definedName>
    <definedName name="fecha_actual">empleados!$M$2</definedName>
    <definedName name="iva_ventas">ventas!$K$1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O2" i="1" s="1"/>
  <c r="F2" i="1" s="1"/>
  <c r="H9" i="3"/>
  <c r="H8" i="3"/>
  <c r="H12" i="3"/>
  <c r="H5" i="3"/>
  <c r="H13" i="3"/>
  <c r="H16" i="3"/>
  <c r="G7" i="3"/>
  <c r="H7" i="3" s="1"/>
  <c r="G8" i="3"/>
  <c r="G9" i="3"/>
  <c r="G10" i="3"/>
  <c r="H10" i="3" s="1"/>
  <c r="G11" i="3"/>
  <c r="H11" i="3" s="1"/>
  <c r="G12" i="3"/>
  <c r="G13" i="3"/>
  <c r="G14" i="3"/>
  <c r="H14" i="3" s="1"/>
  <c r="G15" i="3"/>
  <c r="H15" i="3" s="1"/>
  <c r="G16" i="3"/>
  <c r="G6" i="3"/>
  <c r="H6" i="3" s="1"/>
  <c r="G2" i="3"/>
  <c r="H2" i="3" s="1"/>
  <c r="G3" i="3"/>
  <c r="H3" i="3" s="1"/>
  <c r="G4" i="3"/>
  <c r="H4" i="3" s="1"/>
  <c r="G5" i="3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B2" i="4"/>
  <c r="AG2" i="4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7" i="3"/>
  <c r="K8" i="3"/>
  <c r="K3" i="3"/>
  <c r="A7" i="5" l="1"/>
  <c r="D7" i="5" s="1"/>
  <c r="A6" i="5"/>
  <c r="D6" i="5" s="1"/>
  <c r="A3" i="5"/>
  <c r="D3" i="5" s="1"/>
  <c r="A2" i="5"/>
  <c r="E2" i="5" s="1"/>
  <c r="P2" i="1"/>
  <c r="Q2" i="1"/>
  <c r="AL6" i="4"/>
  <c r="E7" i="5"/>
  <c r="B7" i="5" s="1"/>
  <c r="E3" i="5"/>
  <c r="C3" i="5"/>
  <c r="D2" i="5"/>
  <c r="B2" i="5" s="1"/>
  <c r="B3" i="5"/>
  <c r="E6" i="5"/>
  <c r="B6" i="5" s="1"/>
  <c r="C6" i="5"/>
  <c r="AL7" i="4"/>
  <c r="A9" i="5"/>
  <c r="A5" i="5"/>
  <c r="A8" i="5"/>
  <c r="A4" i="5"/>
  <c r="T2" i="1"/>
  <c r="S2" i="1"/>
  <c r="AK3" i="4"/>
  <c r="AK7" i="4"/>
  <c r="AK5" i="4"/>
  <c r="AK2" i="4"/>
  <c r="AK6" i="4"/>
  <c r="AK4" i="4"/>
  <c r="AL3" i="4"/>
  <c r="AL4" i="4"/>
  <c r="AL2" i="4"/>
  <c r="AL5" i="4"/>
  <c r="K5" i="3"/>
  <c r="K4" i="3"/>
  <c r="K6" i="3"/>
  <c r="C7" i="5" l="1"/>
  <c r="C2" i="5"/>
  <c r="D9" i="5"/>
  <c r="C9" i="5" s="1"/>
  <c r="E9" i="5"/>
  <c r="D8" i="5"/>
  <c r="C8" i="5" s="1"/>
  <c r="E8" i="5"/>
  <c r="E5" i="5"/>
  <c r="D5" i="5"/>
  <c r="C5" i="5" s="1"/>
  <c r="E4" i="5"/>
  <c r="D4" i="5"/>
  <c r="C4" i="5" s="1"/>
  <c r="B9" i="5" l="1"/>
  <c r="B8" i="5"/>
  <c r="B4" i="5"/>
  <c r="B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<sst xmlns="http://schemas.openxmlformats.org/spreadsheetml/2006/main" count="316" uniqueCount="151">
  <si>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</si>
  <si>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</si>
  <si>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</si>
  <si>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</si>
  <si>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</si>
  <si>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</si>
  <si>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</si>
  <si>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</si>
  <si>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</si>
  <si>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</si>
  <si>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</si>
  <si>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</si>
  <si>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</si>
  <si>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</si>
  <si>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</si>
  <si>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</si>
  <si>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</si>
  <si>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</si>
  <si>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</si>
  <si>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</si>
  <si>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</si>
  <si>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</si>
  <si>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</si>
  <si>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</si>
  <si>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</si>
  <si>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</si>
  <si>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</si>
  <si>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</si>
  <si>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</si>
  <si>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</si>
  <si>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</si>
  <si>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</si>
  <si>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</si>
  <si>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</si>
  <si>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</si>
  <si>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</si>
  <si>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</si>
  <si>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</si>
  <si>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</si>
  <si>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</si>
  <si>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</si>
  <si>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Microondas</t>
  </si>
  <si>
    <t>Secarropas</t>
  </si>
  <si>
    <t>Televisor</t>
  </si>
  <si>
    <t>Impresora</t>
  </si>
  <si>
    <t>Mesa</t>
  </si>
  <si>
    <t>Sillas</t>
  </si>
  <si>
    <t>Aire Acondicionado</t>
  </si>
  <si>
    <t>Notebook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</si>
  <si>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</si>
  <si>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</si>
  <si>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</si>
  <si>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</si>
  <si>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</si>
  <si>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</si>
  <si>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</si>
  <si>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</si>
  <si>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</si>
  <si>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</si>
  <si>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</si>
  <si>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</si>
  <si>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</si>
  <si>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</si>
  <si>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</si>
  <si>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</si>
  <si>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</si>
  <si>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</si>
  <si>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</si>
  <si>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</si>
  <si>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</si>
  <si>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</si>
  <si>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</si>
  <si>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</si>
  <si>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</si>
  <si>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</si>
  <si>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</si>
  <si>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</si>
  <si>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Producto Mas vendido</t>
  </si>
  <si>
    <t>Empleado Mas Ventas</t>
  </si>
  <si>
    <t>Cantidad de Ventas</t>
  </si>
  <si>
    <t>Total Recaudado</t>
  </si>
  <si>
    <t>Mediana de Ventas</t>
  </si>
  <si>
    <t>Media de Ventas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</si>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</sst>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7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2" borderId="0" xfId="0" applyFont="1" applyFill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3" fillId="5" borderId="0" xfId="3" applyAlignment="1">
      <alignment horizontal="center" vertical="center" textRotation="90"/>
    </xf>
    <xf numFmtId="0" fontId="5" fillId="0" borderId="0" xfId="5"/>
    <xf numFmtId="0" fontId="5" fillId="0" borderId="0" xfId="5" applyAlignment="1">
      <alignment vertical="top"/>
    </xf>
    <xf numFmtId="0" fontId="3" fillId="6" borderId="0" xfId="4"/>
    <xf numFmtId="0" fontId="5" fillId="0" borderId="0" xfId="5" applyAlignment="1">
      <alignment horizontal="center" vertical="center" textRotation="90"/>
    </xf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20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19"/>
    <tableColumn id="6" xr3:uid="{D4533D99-3030-48D8-95FA-AB65ECFD7909}" name="Edad" dataDxfId="18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17">
      <calculatedColumnFormula>LEFT(tabla_empleados[[#This Row],[CUIL]],2)</calculatedColumnFormula>
    </tableColumn>
    <tableColumn id="11" xr3:uid="{FC13B777-A483-475A-8B84-2A386013D7AE}" name="DU" dataDxfId="16" dataCellStyle="Millares">
      <calculatedColumnFormula>MID(tabla_empleados[[#This Row],[CUIL]],4,8)</calculatedColumnFormula>
    </tableColumn>
    <tableColumn id="10" xr3:uid="{8F4046EF-FE5C-48DC-A976-96DB774EC283}" name="V" dataDxfId="15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A1:E9" totalsRowShown="0">
  <autoFilter ref="A1:E9" xr:uid="{CADF3F30-502A-4F21-BCA4-ECFD83EEB22A}"/>
  <tableColumns count="5">
    <tableColumn id="1" xr3:uid="{29B4FC90-C2F0-4B58-BFFA-F95ED0272441}" name="Empleado">
      <calculatedColumnFormula>TRIM(presentismo!B2)</calculatedColumnFormula>
    </tableColumn>
    <tableColumn id="2" xr3:uid="{D3F48162-106C-421E-BE38-BF662E293D6F}" name="Nombre" dataDxfId="11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12">
      <calculatedColumnFormula>LEFT(tabla_datos[[#This Row],[Empleado]],tabla_datos[[#This Row],[posicion]]-1)</calculatedColumnFormula>
    </tableColumn>
    <tableColumn id="4" xr3:uid="{2A2B9009-32C3-43F8-B562-B70931954ACA}" name="posicion" dataDxfId="14">
      <calculatedColumnFormula>FIND(char,tabla_datos[[#This Row],[Empleado]])</calculatedColumnFormula>
    </tableColumn>
    <tableColumn id="5" xr3:uid="{D1BEFD8D-0CE7-4A41-AA4D-42AF9EBA799E}" name="largo" dataDxfId="13">
      <calculatedColumnFormula>LEN(tabla_datos[[#This Row],[Empleado]])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F9" totalsRowShown="0">
  <autoFilter ref="B1:F9" xr:uid="{ADDAA7C3-8992-47A2-86C7-7945438D7830}"/>
  <tableColumns count="5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4" xr3:uid="{209B8B63-279F-4DFD-BA4F-BF7824FD5CDB}" name="Precio" dataDxfId="1" dataCellStyle="Moneda"/>
    <tableColumn id="5" xr3:uid="{7135D432-720D-459D-9195-F6688B903E57}" name="Stock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16" totalsRowShown="0" headerRowDxfId="5" tableBorderDxfId="10">
  <autoFilter ref="B1:H16" xr:uid="{5B7BE9E3-1F6B-4C52-A712-203172B63C6D}"/>
  <tableColumns count="7">
    <tableColumn id="1" xr3:uid="{31B77BF3-F71D-4B5D-AF5C-A28560ECDE55}" name="Factura" dataDxfId="9"/>
    <tableColumn id="2" xr3:uid="{4C658C36-B580-4A21-A06E-0956BA203137}" name="Empleado" dataDxfId="8"/>
    <tableColumn id="3" xr3:uid="{A5C8E11D-5A43-413B-9D24-FAD6A6614655}" name="Producto" dataDxfId="7"/>
    <tableColumn id="4" xr3:uid="{3BDB2312-175F-4B61-B51F-A882480AF1A8}" name="Cantidad" dataDxfId="6"/>
    <tableColumn id="5" xr3:uid="{E161D830-809F-44B0-A151-6F8E4CE0FCD6}" name="Precio" dataDxfId="4" dataCellStyle="Moneda"/>
    <tableColumn id="6" xr3:uid="{D9028267-BECA-428C-9F0D-876734E3BF87}" name="Total" dataDxfId="3">
      <calculatedColumnFormula>tabla_ventas[[#This Row],[Cantidad]]*tabla_ventas[[#This Row],[Precio]]</calculatedColumnFormula>
    </tableColumn>
    <tableColumn id="7" xr3:uid="{160839D5-6282-48BE-AE1D-FFDF6A0A18B3}" name="final" dataDxfId="2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F4"/>
  <sheetViews>
    <sheetView tabSelected="1" zoomScale="130" zoomScaleNormal="130" workbookViewId="0">
      <selection activeCell="G1" sqref="G1"/>
    </sheetView>
  </sheetViews>
  <sheetFormatPr baseColWidth="10" defaultRowHeight="15" x14ac:dyDescent="0.25"/>
  <cols>
    <col min="1" max="1" width="3.7109375" bestFit="1" customWidth="1"/>
  </cols>
  <sheetData>
    <row r="1" spans="1:6" ht="60" customHeight="1" x14ac:dyDescent="0.25">
      <c r="A1" s="44" t="s">
        <v>140</v>
      </c>
    </row>
    <row r="2" spans="1:6" x14ac:dyDescent="0.25">
      <c r="A2" s="44"/>
      <c r="B2" s="47" t="s">
        <v>83</v>
      </c>
      <c r="C2" s="47" t="s">
        <v>142</v>
      </c>
      <c r="D2" s="47" t="s">
        <v>143</v>
      </c>
      <c r="E2" s="47" t="s">
        <v>144</v>
      </c>
      <c r="F2" s="47" t="s">
        <v>75</v>
      </c>
    </row>
    <row r="3" spans="1:6" ht="60" customHeight="1" x14ac:dyDescent="0.25">
      <c r="A3" s="44" t="s">
        <v>141</v>
      </c>
    </row>
    <row r="4" spans="1:6" x14ac:dyDescent="0.25">
      <c r="A4" s="44"/>
      <c r="B4" s="47" t="s">
        <v>145</v>
      </c>
      <c r="C4" s="47" t="s">
        <v>146</v>
      </c>
      <c r="D4" s="47" t="s">
        <v>147</v>
      </c>
      <c r="E4" s="47" t="s">
        <v>148</v>
      </c>
      <c r="F4" s="47" t="s">
        <v>149</v>
      </c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D2" location="productos!A1" display="Productos" xr:uid="{233EA16B-6356-446D-B3AB-846315C8DBA2}"/>
    <hyperlink ref="E2" location="ventas!A1" display="Ventas" xr:uid="{2A2E4FDB-9636-456E-8F57-637A5722BD88}"/>
    <hyperlink ref="F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D4" r:id="rId3" xr:uid="{C4A47B32-ED93-43FC-932A-E249AECE7D9F}"/>
    <hyperlink ref="E4" r:id="rId4" xr:uid="{93934089-63E0-4589-9A50-51B80B978C11}"/>
    <hyperlink ref="F4" r:id="rId5" xr:uid="{12B07B36-8EA2-46DA-BB99-D9FA342E58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="145" zoomScaleNormal="145" workbookViewId="0">
      <pane ySplit="1" topLeftCell="A9" activePane="bottomLeft" state="frozen"/>
      <selection pane="bottomLeft"/>
    </sheetView>
  </sheetViews>
  <sheetFormatPr baseColWidth="10" defaultRowHeight="15" x14ac:dyDescent="0.25"/>
  <cols>
    <col min="1" max="1" width="5.28515625" bestFit="1" customWidth="1"/>
    <col min="2" max="2" width="4.855468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4" customWidth="1"/>
    <col min="9" max="9" width="10.7109375" style="25" bestFit="1" customWidth="1"/>
    <col min="10" max="10" width="5.42578125" style="24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6" t="s">
        <v>150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4" t="s">
        <v>102</v>
      </c>
      <c r="I1" s="25" t="s">
        <v>103</v>
      </c>
      <c r="J1" s="24" t="s">
        <v>104</v>
      </c>
      <c r="K1" t="s">
        <v>6</v>
      </c>
      <c r="M1" s="7" t="s">
        <v>94</v>
      </c>
      <c r="N1" s="8" t="s">
        <v>95</v>
      </c>
      <c r="O1" s="8" t="s">
        <v>96</v>
      </c>
      <c r="P1" s="8" t="s">
        <v>97</v>
      </c>
      <c r="Q1" s="8" t="s">
        <v>98</v>
      </c>
      <c r="R1" s="8" t="s">
        <v>99</v>
      </c>
      <c r="S1" s="8" t="s">
        <v>100</v>
      </c>
      <c r="T1" s="9" t="s">
        <v>101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3">
        <f ca="1">año_actual-YEAR(tabla_empleados[[#This Row],[Nacimiento]])</f>
        <v>31</v>
      </c>
      <c r="G2" t="s">
        <v>9</v>
      </c>
      <c r="H2" s="24" t="str">
        <f>LEFT(tabla_empleados[[#This Row],[CUIL]],2)</f>
        <v>20</v>
      </c>
      <c r="I2" s="25" t="str">
        <f>MID(tabla_empleados[[#This Row],[CUIL]],4,8)</f>
        <v>35336336</v>
      </c>
      <c r="J2" s="24" t="str">
        <f>RIGHT(tabla_empleados[[#This Row],[CUIL]],1)</f>
        <v>5</v>
      </c>
      <c r="K2" t="s">
        <v>10</v>
      </c>
      <c r="M2" s="42">
        <f ca="1">TODAY()</f>
        <v>44910</v>
      </c>
      <c r="N2" s="43">
        <f ca="1">NOW()</f>
        <v>44910.699760416668</v>
      </c>
      <c r="O2" s="6">
        <f ca="1">YEAR(fecha_actual)</f>
        <v>2022</v>
      </c>
      <c r="P2" s="6">
        <f ca="1">MONTH(fecha_actual)</f>
        <v>12</v>
      </c>
      <c r="Q2" s="6">
        <f ca="1">DAY(fecha_actual)</f>
        <v>15</v>
      </c>
      <c r="R2" s="6">
        <f ca="1">HOUR(N2)</f>
        <v>16</v>
      </c>
      <c r="S2" s="6">
        <f ca="1">MINUTE(N2)</f>
        <v>47</v>
      </c>
      <c r="T2" s="19">
        <f ca="1">SECOND(N2)</f>
        <v>39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3">
        <f ca="1">año_actual-YEAR(tabla_empleados[[#This Row],[Nacimiento]])</f>
        <v>29</v>
      </c>
      <c r="G3" t="s">
        <v>12</v>
      </c>
      <c r="H3" s="24" t="str">
        <f>LEFT(tabla_empleados[[#This Row],[CUIL]],2)</f>
        <v>20</v>
      </c>
      <c r="I3" s="25" t="str">
        <f>MID(tabla_empleados[[#This Row],[CUIL]],4,8)</f>
        <v>38883443</v>
      </c>
      <c r="J3" s="24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3">
        <f ca="1">año_actual-YEAR(tabla_empleados[[#This Row],[Nacimiento]])</f>
        <v>22</v>
      </c>
      <c r="G4" t="s">
        <v>16</v>
      </c>
      <c r="H4" s="24" t="str">
        <f>LEFT(tabla_empleados[[#This Row],[CUIL]],2)</f>
        <v>27</v>
      </c>
      <c r="I4" s="25" t="str">
        <f>MID(tabla_empleados[[#This Row],[CUIL]],4,8)</f>
        <v>91028301</v>
      </c>
      <c r="J4" s="24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3">
        <f ca="1">año_actual-YEAR(tabla_empleados[[#This Row],[Nacimiento]])</f>
        <v>36</v>
      </c>
      <c r="G5" t="s">
        <v>20</v>
      </c>
      <c r="H5" s="24" t="str">
        <f>LEFT(tabla_empleados[[#This Row],[CUIL]],2)</f>
        <v>20</v>
      </c>
      <c r="I5" s="25" t="str">
        <f>MID(tabla_empleados[[#This Row],[CUIL]],4,8)</f>
        <v>18273913</v>
      </c>
      <c r="J5" s="24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3">
        <f ca="1">año_actual-YEAR(tabla_empleados[[#This Row],[Nacimiento]])</f>
        <v>23</v>
      </c>
      <c r="G6" t="s">
        <v>24</v>
      </c>
      <c r="H6" s="24" t="str">
        <f>LEFT(tabla_empleados[[#This Row],[CUIL]],2)</f>
        <v>27</v>
      </c>
      <c r="I6" s="25" t="str">
        <f>MID(tabla_empleados[[#This Row],[CUIL]],4,8)</f>
        <v>19023885</v>
      </c>
      <c r="J6" s="24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3">
        <f ca="1">año_actual-YEAR(tabla_empleados[[#This Row],[Nacimiento]])</f>
        <v>20</v>
      </c>
      <c r="G7" t="s">
        <v>28</v>
      </c>
      <c r="H7" s="24" t="str">
        <f>LEFT(tabla_empleados[[#This Row],[CUIL]],2)</f>
        <v>27</v>
      </c>
      <c r="I7" s="25" t="str">
        <f>MID(tabla_empleados[[#This Row],[CUIL]],4,8)</f>
        <v>40279384</v>
      </c>
      <c r="J7" s="24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3">
        <f ca="1">año_actual-YEAR(tabla_empleados[[#This Row],[Nacimiento]])</f>
        <v>39</v>
      </c>
      <c r="G8" t="s">
        <v>32</v>
      </c>
      <c r="H8" s="24" t="str">
        <f>LEFT(tabla_empleados[[#This Row],[CUIL]],2)</f>
        <v>20</v>
      </c>
      <c r="I8" s="25" t="str">
        <f>MID(tabla_empleados[[#This Row],[CUIL]],4,8)</f>
        <v>84973329</v>
      </c>
      <c r="J8" s="24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3">
        <f ca="1">año_actual-YEAR(tabla_empleados[[#This Row],[Nacimiento]])</f>
        <v>29</v>
      </c>
      <c r="G9" t="s">
        <v>36</v>
      </c>
      <c r="H9" s="24" t="str">
        <f>LEFT(tabla_empleados[[#This Row],[CUIL]],2)</f>
        <v>20</v>
      </c>
      <c r="I9" s="25" t="str">
        <f>MID(tabla_empleados[[#This Row],[CUIL]],4,8)</f>
        <v>37891223</v>
      </c>
      <c r="J9" s="24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G9"/>
  <sheetViews>
    <sheetView zoomScale="175" zoomScaleNormal="175" workbookViewId="0">
      <selection activeCell="B2" sqref="B2"/>
    </sheetView>
  </sheetViews>
  <sheetFormatPr baseColWidth="10" defaultRowHeight="15" x14ac:dyDescent="0.25"/>
  <cols>
    <col min="1" max="1" width="20.7109375" bestFit="1" customWidth="1"/>
    <col min="4" max="4" width="10.7109375" bestFit="1" customWidth="1"/>
    <col min="5" max="5" width="6.140625" customWidth="1"/>
    <col min="7" max="7" width="10" bestFit="1" customWidth="1"/>
  </cols>
  <sheetData>
    <row r="1" spans="1:7" x14ac:dyDescent="0.25">
      <c r="A1" t="s">
        <v>53</v>
      </c>
      <c r="B1" t="s">
        <v>1</v>
      </c>
      <c r="C1" t="s">
        <v>0</v>
      </c>
      <c r="D1" t="s">
        <v>107</v>
      </c>
      <c r="E1" t="s">
        <v>108</v>
      </c>
      <c r="G1" t="s">
        <v>105</v>
      </c>
    </row>
    <row r="2" spans="1:7" x14ac:dyDescent="0.25">
      <c r="A2" t="str">
        <f>TRIM(presentismo!B2)</f>
        <v>Racedo, Cristian</v>
      </c>
      <c r="B2" t="str">
        <f>RIGHT(tabla_datos[[#This Row],[Empleado]],tabla_datos[[#This Row],[largo]]-(tabla_datos[[#This Row],[posicion]] + 1))</f>
        <v>Cristian</v>
      </c>
      <c r="C2" t="str">
        <f>LEFT(tabla_datos[[#This Row],[Empleado]],tabla_datos[[#This Row],[posicion]]-1)</f>
        <v>Racedo</v>
      </c>
      <c r="D2">
        <f>FIND(char,tabla_datos[[#This Row],[Empleado]])</f>
        <v>7</v>
      </c>
      <c r="E2">
        <f>LEN(tabla_datos[[#This Row],[Empleado]])</f>
        <v>16</v>
      </c>
      <c r="G2" t="s">
        <v>106</v>
      </c>
    </row>
    <row r="3" spans="1:7" x14ac:dyDescent="0.25">
      <c r="A3" t="str">
        <f>TRIM(presentismo!B3)</f>
        <v>Racedo, Abel</v>
      </c>
      <c r="B3" t="str">
        <f>RIGHT(tabla_datos[[#This Row],[Empleado]],tabla_datos[[#This Row],[largo]]-(tabla_datos[[#This Row],[posicion]] + 1))</f>
        <v>Abel</v>
      </c>
      <c r="C3" t="str">
        <f>LEFT(tabla_datos[[#This Row],[Empleado]],tabla_datos[[#This Row],[posicion]]-1)</f>
        <v>Racedo</v>
      </c>
      <c r="D3">
        <f>FIND(char,tabla_datos[[#This Row],[Empleado]])</f>
        <v>7</v>
      </c>
      <c r="E3">
        <f>LEN(tabla_datos[[#This Row],[Empleado]])</f>
        <v>12</v>
      </c>
    </row>
    <row r="4" spans="1:7" x14ac:dyDescent="0.25">
      <c r="A4" t="str">
        <f>TRIM(presentismo!B4)</f>
        <v>Maldonado, Alejandra</v>
      </c>
      <c r="B4" t="str">
        <f>RIGHT(tabla_datos[[#This Row],[Empleado]],tabla_datos[[#This Row],[largo]]-(tabla_datos[[#This Row],[posicion]] + 1))</f>
        <v>Alejandra</v>
      </c>
      <c r="C4" t="str">
        <f>LEFT(tabla_datos[[#This Row],[Empleado]],tabla_datos[[#This Row],[posicion]]-1)</f>
        <v>Maldonado</v>
      </c>
      <c r="D4">
        <f>FIND(char,tabla_datos[[#This Row],[Empleado]])</f>
        <v>10</v>
      </c>
      <c r="E4">
        <f>LEN(tabla_datos[[#This Row],[Empleado]])</f>
        <v>20</v>
      </c>
    </row>
    <row r="5" spans="1:7" x14ac:dyDescent="0.25">
      <c r="A5" t="str">
        <f>TRIM(presentismo!B5)</f>
        <v>Juarez, Alberto</v>
      </c>
      <c r="B5" t="str">
        <f>RIGHT(tabla_datos[[#This Row],[Empleado]],tabla_datos[[#This Row],[largo]]-(tabla_datos[[#This Row],[posicion]] + 1))</f>
        <v>Alberto</v>
      </c>
      <c r="C5" t="str">
        <f>LEFT(tabla_datos[[#This Row],[Empleado]],tabla_datos[[#This Row],[posicion]]-1)</f>
        <v>Juarez</v>
      </c>
      <c r="D5">
        <f>FIND(char,tabla_datos[[#This Row],[Empleado]])</f>
        <v>7</v>
      </c>
      <c r="E5">
        <f>LEN(tabla_datos[[#This Row],[Empleado]])</f>
        <v>15</v>
      </c>
    </row>
    <row r="6" spans="1:7" x14ac:dyDescent="0.25">
      <c r="A6" t="str">
        <f>TRIM(presentismo!B6)</f>
        <v>Martinez, Mariana</v>
      </c>
      <c r="B6" t="str">
        <f>RIGHT(tabla_datos[[#This Row],[Empleado]],tabla_datos[[#This Row],[largo]]-(tabla_datos[[#This Row],[posicion]] + 1))</f>
        <v>Mariana</v>
      </c>
      <c r="C6" t="str">
        <f>LEFT(tabla_datos[[#This Row],[Empleado]],tabla_datos[[#This Row],[posicion]]-1)</f>
        <v>Martinez</v>
      </c>
      <c r="D6">
        <f>FIND(char,tabla_datos[[#This Row],[Empleado]])</f>
        <v>9</v>
      </c>
      <c r="E6">
        <f>LEN(tabla_datos[[#This Row],[Empleado]])</f>
        <v>17</v>
      </c>
    </row>
    <row r="7" spans="1:7" x14ac:dyDescent="0.25">
      <c r="A7" t="str">
        <f>TRIM(presentismo!B7)</f>
        <v>Gomez, Graciela</v>
      </c>
      <c r="B7" t="str">
        <f>RIGHT(tabla_datos[[#This Row],[Empleado]],tabla_datos[[#This Row],[largo]]-(tabla_datos[[#This Row],[posicion]] + 1))</f>
        <v>Graciela</v>
      </c>
      <c r="C7" t="str">
        <f>LEFT(tabla_datos[[#This Row],[Empleado]],tabla_datos[[#This Row],[posicion]]-1)</f>
        <v>Gomez</v>
      </c>
      <c r="D7">
        <f>FIND(char,tabla_datos[[#This Row],[Empleado]])</f>
        <v>6</v>
      </c>
      <c r="E7">
        <f>LEN(tabla_datos[[#This Row],[Empleado]])</f>
        <v>15</v>
      </c>
    </row>
    <row r="8" spans="1:7" x14ac:dyDescent="0.25">
      <c r="A8" t="str">
        <f>TRIM(presentismo!B8)</f>
        <v>Garcia, Demetrio</v>
      </c>
      <c r="B8" t="str">
        <f>RIGHT(tabla_datos[[#This Row],[Empleado]],tabla_datos[[#This Row],[largo]]-(tabla_datos[[#This Row],[posicion]] + 1))</f>
        <v>Demetrio</v>
      </c>
      <c r="C8" t="str">
        <f>LEFT(tabla_datos[[#This Row],[Empleado]],tabla_datos[[#This Row],[posicion]]-1)</f>
        <v>Garcia</v>
      </c>
      <c r="D8">
        <f>FIND(char,tabla_datos[[#This Row],[Empleado]])</f>
        <v>7</v>
      </c>
      <c r="E8">
        <f>LEN(tabla_datos[[#This Row],[Empleado]])</f>
        <v>16</v>
      </c>
    </row>
    <row r="9" spans="1:7" x14ac:dyDescent="0.25">
      <c r="A9" t="str">
        <f>TRIM(presentismo!B9)</f>
        <v>Cabello, Camila</v>
      </c>
      <c r="B9" t="str">
        <f>RIGHT(tabla_datos[[#This Row],[Empleado]],tabla_datos[[#This Row],[largo]]-(tabla_datos[[#This Row],[posicion]] + 1))</f>
        <v>Camila</v>
      </c>
      <c r="C9" t="str">
        <f>LEFT(tabla_datos[[#This Row],[Empleado]],tabla_datos[[#This Row],[posicion]]-1)</f>
        <v>Cabello</v>
      </c>
      <c r="D9">
        <f>FIND(char,tabla_datos[[#This Row],[Empleado]])</f>
        <v>8</v>
      </c>
      <c r="E9">
        <f>LEN(tabla_datos[[#This Row],[Empleado]])</f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="160" zoomScaleNormal="16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3.7109375" style="45" bestFit="1" customWidth="1"/>
    <col min="2" max="2" width="20.7109375" bestFit="1" customWidth="1"/>
    <col min="3" max="7" width="3.7109375" bestFit="1" customWidth="1"/>
    <col min="8" max="8" width="3.7109375" style="18" bestFit="1" customWidth="1"/>
    <col min="9" max="14" width="3.7109375" bestFit="1" customWidth="1"/>
    <col min="15" max="15" width="3.7109375" style="18" bestFit="1" customWidth="1"/>
    <col min="16" max="21" width="3.7109375" bestFit="1" customWidth="1"/>
    <col min="22" max="22" width="3.7109375" style="18" bestFit="1" customWidth="1"/>
    <col min="23" max="28" width="3.7109375" bestFit="1" customWidth="1"/>
    <col min="29" max="29" width="3.7109375" style="18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8" t="s">
        <v>150</v>
      </c>
      <c r="B1" s="41" t="s">
        <v>83</v>
      </c>
      <c r="C1" s="34" t="s">
        <v>110</v>
      </c>
      <c r="D1" s="34" t="s">
        <v>111</v>
      </c>
      <c r="E1" s="34" t="s">
        <v>112</v>
      </c>
      <c r="F1" s="34" t="s">
        <v>113</v>
      </c>
      <c r="G1" s="34" t="s">
        <v>114</v>
      </c>
      <c r="H1" s="35" t="s">
        <v>115</v>
      </c>
      <c r="I1" s="34" t="s">
        <v>116</v>
      </c>
      <c r="J1" s="34" t="s">
        <v>117</v>
      </c>
      <c r="K1" s="34" t="s">
        <v>118</v>
      </c>
      <c r="L1" s="34" t="s">
        <v>119</v>
      </c>
      <c r="M1" s="34" t="s">
        <v>120</v>
      </c>
      <c r="N1" s="34" t="s">
        <v>121</v>
      </c>
      <c r="O1" s="35" t="s">
        <v>122</v>
      </c>
      <c r="P1" s="34" t="s">
        <v>123</v>
      </c>
      <c r="Q1" s="34" t="s">
        <v>124</v>
      </c>
      <c r="R1" s="34" t="s">
        <v>125</v>
      </c>
      <c r="S1" s="34" t="s">
        <v>126</v>
      </c>
      <c r="T1" s="34" t="s">
        <v>127</v>
      </c>
      <c r="U1" s="34" t="s">
        <v>128</v>
      </c>
      <c r="V1" s="35" t="s">
        <v>129</v>
      </c>
      <c r="W1" s="34" t="s">
        <v>130</v>
      </c>
      <c r="X1" s="34" t="s">
        <v>131</v>
      </c>
      <c r="Y1" s="34" t="s">
        <v>132</v>
      </c>
      <c r="Z1" s="34" t="s">
        <v>133</v>
      </c>
      <c r="AA1" s="34" t="s">
        <v>134</v>
      </c>
      <c r="AB1" s="34" t="s">
        <v>135</v>
      </c>
      <c r="AC1" s="35" t="s">
        <v>136</v>
      </c>
      <c r="AD1" s="34" t="s">
        <v>137</v>
      </c>
      <c r="AE1" s="34" t="s">
        <v>138</v>
      </c>
      <c r="AF1" s="34" t="s">
        <v>139</v>
      </c>
      <c r="AG1" s="8" t="s">
        <v>85</v>
      </c>
      <c r="AH1" s="9" t="s">
        <v>86</v>
      </c>
      <c r="AJ1" s="7" t="s">
        <v>75</v>
      </c>
      <c r="AK1" s="8" t="s">
        <v>88</v>
      </c>
      <c r="AL1" s="9" t="s">
        <v>84</v>
      </c>
    </row>
    <row r="2" spans="1:38" x14ac:dyDescent="0.25">
      <c r="B2" s="10" t="str">
        <f>_xlfn.CONCAT(empleados!D2,", ",empleados!C2)</f>
        <v>Racedo, Cristian</v>
      </c>
      <c r="C2" s="36" t="s">
        <v>84</v>
      </c>
      <c r="D2" s="11" t="s">
        <v>84</v>
      </c>
      <c r="E2" s="11" t="s">
        <v>84</v>
      </c>
      <c r="F2" s="11"/>
      <c r="G2" s="11" t="s">
        <v>84</v>
      </c>
      <c r="H2" s="37"/>
      <c r="I2" s="11" t="s">
        <v>84</v>
      </c>
      <c r="J2" s="11"/>
      <c r="K2" s="11" t="s">
        <v>84</v>
      </c>
      <c r="L2" s="11"/>
      <c r="M2" s="11" t="s">
        <v>84</v>
      </c>
      <c r="N2" s="11" t="s">
        <v>84</v>
      </c>
      <c r="O2" s="37"/>
      <c r="P2" s="11" t="s">
        <v>84</v>
      </c>
      <c r="Q2" s="11" t="s">
        <v>84</v>
      </c>
      <c r="R2" s="11" t="s">
        <v>84</v>
      </c>
      <c r="S2" s="11" t="s">
        <v>84</v>
      </c>
      <c r="T2" s="11" t="s">
        <v>84</v>
      </c>
      <c r="U2" s="11"/>
      <c r="V2" s="37"/>
      <c r="W2" s="11" t="s">
        <v>84</v>
      </c>
      <c r="X2" s="11" t="s">
        <v>84</v>
      </c>
      <c r="Y2" s="11"/>
      <c r="Z2" s="11" t="s">
        <v>84</v>
      </c>
      <c r="AA2" s="11"/>
      <c r="AB2" s="11" t="s">
        <v>84</v>
      </c>
      <c r="AC2" s="37"/>
      <c r="AD2" s="11" t="s">
        <v>84</v>
      </c>
      <c r="AE2" s="11" t="s">
        <v>84</v>
      </c>
      <c r="AF2" s="11" t="s">
        <v>84</v>
      </c>
      <c r="AG2" s="11">
        <f>COUNTBLANK($B2:$AF2)</f>
        <v>10</v>
      </c>
      <c r="AH2" s="33">
        <f>COUNTA($C2:$AF2)</f>
        <v>20</v>
      </c>
      <c r="AJ2" s="10" t="s">
        <v>87</v>
      </c>
      <c r="AK2" s="11">
        <f>SUM(AG$2:AG$9)</f>
        <v>93</v>
      </c>
      <c r="AL2" s="33">
        <f>SUM(AH$2:AH$9)</f>
        <v>147</v>
      </c>
    </row>
    <row r="3" spans="1:38" x14ac:dyDescent="0.25">
      <c r="B3" s="14" t="str">
        <f>_xlfn.CONCAT(empleados!D3,", ",empleados!C3)</f>
        <v>Racedo, Abel</v>
      </c>
      <c r="C3" s="38" t="s">
        <v>84</v>
      </c>
      <c r="D3" s="15" t="s">
        <v>84</v>
      </c>
      <c r="E3" s="15" t="s">
        <v>84</v>
      </c>
      <c r="F3" s="15" t="s">
        <v>84</v>
      </c>
      <c r="G3" s="15"/>
      <c r="H3" s="37"/>
      <c r="I3" s="15" t="s">
        <v>84</v>
      </c>
      <c r="J3" s="15" t="s">
        <v>84</v>
      </c>
      <c r="K3" s="15" t="s">
        <v>84</v>
      </c>
      <c r="L3" s="15" t="s">
        <v>84</v>
      </c>
      <c r="M3" s="15" t="s">
        <v>84</v>
      </c>
      <c r="N3" s="15"/>
      <c r="O3" s="37"/>
      <c r="P3" s="15" t="s">
        <v>84</v>
      </c>
      <c r="Q3" s="15" t="s">
        <v>84</v>
      </c>
      <c r="R3" s="15"/>
      <c r="S3" s="15" t="s">
        <v>84</v>
      </c>
      <c r="T3" s="15" t="s">
        <v>84</v>
      </c>
      <c r="U3" s="15" t="s">
        <v>84</v>
      </c>
      <c r="V3" s="37"/>
      <c r="W3" s="15" t="s">
        <v>84</v>
      </c>
      <c r="X3" s="15" t="s">
        <v>84</v>
      </c>
      <c r="Y3" s="15"/>
      <c r="Z3" s="15" t="s">
        <v>84</v>
      </c>
      <c r="AA3" s="15" t="s">
        <v>84</v>
      </c>
      <c r="AB3" s="15" t="s">
        <v>84</v>
      </c>
      <c r="AC3" s="37"/>
      <c r="AD3" s="15" t="s">
        <v>84</v>
      </c>
      <c r="AE3" s="15" t="s">
        <v>84</v>
      </c>
      <c r="AF3" s="15" t="s">
        <v>84</v>
      </c>
      <c r="AG3" s="15">
        <f t="shared" ref="AG3:AG8" si="0">COUNTBLANK($B3:$AF3)</f>
        <v>8</v>
      </c>
      <c r="AH3" s="28">
        <f t="shared" ref="AH3:AH9" si="1">COUNTA($C3:$AF3)</f>
        <v>22</v>
      </c>
      <c r="AJ3" s="14" t="s">
        <v>89</v>
      </c>
      <c r="AK3" s="15">
        <f>MIN(AG$2:AG$9)</f>
        <v>8</v>
      </c>
      <c r="AL3" s="28">
        <f>MIN(AH$2:AH$9)</f>
        <v>17</v>
      </c>
    </row>
    <row r="4" spans="1:38" x14ac:dyDescent="0.25">
      <c r="B4" s="10" t="str">
        <f>_xlfn.CONCAT(empleados!D4,", ",empleados!C4)</f>
        <v>Maldonado, Alejandra</v>
      </c>
      <c r="C4" s="36"/>
      <c r="D4" s="11" t="s">
        <v>84</v>
      </c>
      <c r="E4" s="11" t="s">
        <v>84</v>
      </c>
      <c r="F4" s="11" t="s">
        <v>84</v>
      </c>
      <c r="G4" s="11"/>
      <c r="H4" s="37"/>
      <c r="I4" s="11" t="s">
        <v>84</v>
      </c>
      <c r="J4" s="11" t="s">
        <v>84</v>
      </c>
      <c r="K4" s="11"/>
      <c r="L4" s="11" t="s">
        <v>84</v>
      </c>
      <c r="M4" s="11" t="s">
        <v>84</v>
      </c>
      <c r="N4" s="11" t="s">
        <v>84</v>
      </c>
      <c r="O4" s="37"/>
      <c r="P4" s="11" t="s">
        <v>84</v>
      </c>
      <c r="Q4" s="11"/>
      <c r="R4" s="11" t="s">
        <v>84</v>
      </c>
      <c r="S4" s="11" t="s">
        <v>84</v>
      </c>
      <c r="T4" s="11" t="s">
        <v>84</v>
      </c>
      <c r="U4" s="11"/>
      <c r="V4" s="37"/>
      <c r="W4" s="11" t="s">
        <v>84</v>
      </c>
      <c r="X4" s="11" t="s">
        <v>84</v>
      </c>
      <c r="Y4" s="11" t="s">
        <v>84</v>
      </c>
      <c r="Z4" s="11" t="s">
        <v>84</v>
      </c>
      <c r="AA4" s="11"/>
      <c r="AB4" s="11" t="s">
        <v>84</v>
      </c>
      <c r="AC4" s="37"/>
      <c r="AD4" s="11" t="s">
        <v>84</v>
      </c>
      <c r="AE4" s="11" t="s">
        <v>84</v>
      </c>
      <c r="AF4" s="11"/>
      <c r="AG4" s="11">
        <f t="shared" si="0"/>
        <v>11</v>
      </c>
      <c r="AH4" s="33">
        <f t="shared" si="1"/>
        <v>19</v>
      </c>
      <c r="AJ4" s="10" t="s">
        <v>90</v>
      </c>
      <c r="AK4" s="11">
        <f>MAX(AG2:AG9)</f>
        <v>13</v>
      </c>
      <c r="AL4" s="33">
        <f>MAX(AH2:AH9)</f>
        <v>22</v>
      </c>
    </row>
    <row r="5" spans="1:38" x14ac:dyDescent="0.25">
      <c r="B5" s="14" t="str">
        <f>_xlfn.CONCAT(empleados!D5,", ",empleados!C5)</f>
        <v>Juarez, Alberto</v>
      </c>
      <c r="C5" s="38" t="s">
        <v>84</v>
      </c>
      <c r="D5" s="15" t="s">
        <v>84</v>
      </c>
      <c r="E5" s="15" t="s">
        <v>84</v>
      </c>
      <c r="F5" s="15"/>
      <c r="G5" s="15" t="s">
        <v>84</v>
      </c>
      <c r="H5" s="37"/>
      <c r="I5" s="15" t="s">
        <v>84</v>
      </c>
      <c r="J5" s="15"/>
      <c r="K5" s="15" t="s">
        <v>84</v>
      </c>
      <c r="L5" s="15"/>
      <c r="M5" s="15" t="s">
        <v>84</v>
      </c>
      <c r="N5" s="15" t="s">
        <v>84</v>
      </c>
      <c r="O5" s="37"/>
      <c r="P5" s="15" t="s">
        <v>84</v>
      </c>
      <c r="Q5" s="15"/>
      <c r="R5" s="15" t="s">
        <v>84</v>
      </c>
      <c r="S5" s="15" t="s">
        <v>84</v>
      </c>
      <c r="T5" s="15"/>
      <c r="U5" s="15" t="s">
        <v>84</v>
      </c>
      <c r="V5" s="37"/>
      <c r="W5" s="15" t="s">
        <v>84</v>
      </c>
      <c r="X5" s="15"/>
      <c r="Y5" s="15" t="s">
        <v>84</v>
      </c>
      <c r="Z5" s="15"/>
      <c r="AA5" s="15" t="s">
        <v>84</v>
      </c>
      <c r="AB5" s="15" t="s">
        <v>84</v>
      </c>
      <c r="AC5" s="37"/>
      <c r="AD5" s="15" t="s">
        <v>84</v>
      </c>
      <c r="AE5" s="15"/>
      <c r="AF5" s="15" t="s">
        <v>84</v>
      </c>
      <c r="AG5" s="15">
        <f t="shared" si="0"/>
        <v>12</v>
      </c>
      <c r="AH5" s="28">
        <f t="shared" si="1"/>
        <v>18</v>
      </c>
      <c r="AJ5" s="14" t="s">
        <v>91</v>
      </c>
      <c r="AK5" s="15">
        <f>AVERAGE(AG$2:AG$9)</f>
        <v>11.625</v>
      </c>
      <c r="AL5" s="28">
        <f>AVERAGE(AH$2:AH$9)</f>
        <v>18.375</v>
      </c>
    </row>
    <row r="6" spans="1:38" x14ac:dyDescent="0.25">
      <c r="B6" s="10" t="str">
        <f>_xlfn.CONCAT(empleados!D6,", ",empleados!C6)</f>
        <v>Martinez, Mariana</v>
      </c>
      <c r="C6" s="36"/>
      <c r="D6" s="11" t="s">
        <v>84</v>
      </c>
      <c r="E6" s="11" t="s">
        <v>84</v>
      </c>
      <c r="F6" s="11" t="s">
        <v>84</v>
      </c>
      <c r="G6" s="11"/>
      <c r="H6" s="37"/>
      <c r="I6" s="11"/>
      <c r="J6" s="11" t="s">
        <v>84</v>
      </c>
      <c r="K6" s="11" t="s">
        <v>84</v>
      </c>
      <c r="L6" s="11"/>
      <c r="M6" s="11" t="s">
        <v>84</v>
      </c>
      <c r="N6" s="11"/>
      <c r="O6" s="37"/>
      <c r="P6" s="11"/>
      <c r="Q6" s="11" t="s">
        <v>84</v>
      </c>
      <c r="R6" s="11" t="s">
        <v>84</v>
      </c>
      <c r="S6" s="11"/>
      <c r="T6" s="11" t="s">
        <v>84</v>
      </c>
      <c r="U6" s="11" t="s">
        <v>84</v>
      </c>
      <c r="V6" s="37"/>
      <c r="W6" s="11" t="s">
        <v>84</v>
      </c>
      <c r="X6" s="11" t="s">
        <v>84</v>
      </c>
      <c r="Y6" s="11" t="s">
        <v>84</v>
      </c>
      <c r="Z6" s="11" t="s">
        <v>84</v>
      </c>
      <c r="AA6" s="11"/>
      <c r="AB6" s="11"/>
      <c r="AC6" s="37"/>
      <c r="AD6" s="11" t="s">
        <v>84</v>
      </c>
      <c r="AE6" s="11" t="s">
        <v>84</v>
      </c>
      <c r="AF6" s="11" t="s">
        <v>84</v>
      </c>
      <c r="AG6" s="11">
        <f t="shared" si="0"/>
        <v>13</v>
      </c>
      <c r="AH6" s="33">
        <f t="shared" si="1"/>
        <v>17</v>
      </c>
      <c r="AJ6" s="10" t="s">
        <v>92</v>
      </c>
      <c r="AK6" s="11">
        <f>MEDIAN(AG$2:AG$9)</f>
        <v>12.5</v>
      </c>
      <c r="AL6" s="33">
        <f>MEDIAN(AH$2:AH$9)</f>
        <v>17.5</v>
      </c>
    </row>
    <row r="7" spans="1:38" x14ac:dyDescent="0.25">
      <c r="B7" s="14" t="str">
        <f>_xlfn.CONCAT(empleados!D7,", ",empleados!C7)</f>
        <v>Gomez, Graciela</v>
      </c>
      <c r="C7" s="38" t="s">
        <v>84</v>
      </c>
      <c r="D7" s="15" t="s">
        <v>84</v>
      </c>
      <c r="E7" s="15" t="s">
        <v>84</v>
      </c>
      <c r="F7" s="15" t="s">
        <v>84</v>
      </c>
      <c r="G7" s="15" t="s">
        <v>84</v>
      </c>
      <c r="H7" s="37"/>
      <c r="I7" s="15" t="s">
        <v>84</v>
      </c>
      <c r="J7" s="15" t="s">
        <v>84</v>
      </c>
      <c r="K7" s="15"/>
      <c r="L7" s="15" t="s">
        <v>84</v>
      </c>
      <c r="M7" s="15" t="s">
        <v>84</v>
      </c>
      <c r="N7" s="15"/>
      <c r="O7" s="37"/>
      <c r="P7" s="15" t="s">
        <v>84</v>
      </c>
      <c r="Q7" s="15"/>
      <c r="R7" s="15"/>
      <c r="S7" s="15" t="s">
        <v>84</v>
      </c>
      <c r="T7" s="15" t="s">
        <v>84</v>
      </c>
      <c r="U7" s="15"/>
      <c r="V7" s="37"/>
      <c r="W7" s="15"/>
      <c r="X7" s="15" t="s">
        <v>84</v>
      </c>
      <c r="Y7" s="15"/>
      <c r="Z7" s="15" t="s">
        <v>84</v>
      </c>
      <c r="AA7" s="15" t="s">
        <v>84</v>
      </c>
      <c r="AB7" s="15" t="s">
        <v>84</v>
      </c>
      <c r="AC7" s="37"/>
      <c r="AD7" s="15" t="s">
        <v>84</v>
      </c>
      <c r="AE7" s="15"/>
      <c r="AF7" s="15"/>
      <c r="AG7" s="15">
        <f t="shared" si="0"/>
        <v>13</v>
      </c>
      <c r="AH7" s="28">
        <f t="shared" si="1"/>
        <v>17</v>
      </c>
      <c r="AJ7" s="20" t="s">
        <v>93</v>
      </c>
      <c r="AK7" s="21">
        <f>MODE(AG$2:AG$9)</f>
        <v>13</v>
      </c>
      <c r="AL7" s="22">
        <f>MODE(AH$2:AH$9)</f>
        <v>17</v>
      </c>
    </row>
    <row r="8" spans="1:38" x14ac:dyDescent="0.25">
      <c r="B8" s="10" t="str">
        <f>_xlfn.CONCAT(empleados!D8,", ",empleados!C8)</f>
        <v>Garcia, Demetrio</v>
      </c>
      <c r="C8" s="36"/>
      <c r="D8" s="11"/>
      <c r="E8" s="11" t="s">
        <v>84</v>
      </c>
      <c r="F8" s="11" t="s">
        <v>84</v>
      </c>
      <c r="G8" s="11"/>
      <c r="H8" s="37"/>
      <c r="I8" s="11"/>
      <c r="J8" s="11" t="s">
        <v>84</v>
      </c>
      <c r="K8" s="11" t="s">
        <v>84</v>
      </c>
      <c r="L8" s="11" t="s">
        <v>84</v>
      </c>
      <c r="M8" s="11"/>
      <c r="N8" s="11" t="s">
        <v>84</v>
      </c>
      <c r="O8" s="37"/>
      <c r="P8" s="11" t="s">
        <v>84</v>
      </c>
      <c r="Q8" s="11" t="s">
        <v>84</v>
      </c>
      <c r="R8" s="11" t="s">
        <v>84</v>
      </c>
      <c r="S8" s="11"/>
      <c r="T8" s="11"/>
      <c r="U8" s="11" t="s">
        <v>84</v>
      </c>
      <c r="V8" s="37"/>
      <c r="W8" s="11" t="s">
        <v>84</v>
      </c>
      <c r="X8" s="11" t="s">
        <v>84</v>
      </c>
      <c r="Y8" s="11" t="s">
        <v>84</v>
      </c>
      <c r="Z8" s="11" t="s">
        <v>84</v>
      </c>
      <c r="AA8" s="11"/>
      <c r="AB8" s="11" t="s">
        <v>84</v>
      </c>
      <c r="AC8" s="37"/>
      <c r="AD8" s="11"/>
      <c r="AE8" s="11" t="s">
        <v>84</v>
      </c>
      <c r="AF8" s="11" t="s">
        <v>84</v>
      </c>
      <c r="AG8" s="11">
        <f t="shared" si="0"/>
        <v>13</v>
      </c>
      <c r="AH8" s="33">
        <f t="shared" si="1"/>
        <v>17</v>
      </c>
    </row>
    <row r="9" spans="1:38" x14ac:dyDescent="0.25">
      <c r="B9" s="20" t="str">
        <f>_xlfn.CONCAT(empleados!D9,", ",empleados!C9)</f>
        <v>Cabello, Camila</v>
      </c>
      <c r="C9" s="39" t="s">
        <v>84</v>
      </c>
      <c r="D9" s="21" t="s">
        <v>84</v>
      </c>
      <c r="E9" s="21"/>
      <c r="F9" s="21" t="s">
        <v>84</v>
      </c>
      <c r="G9" s="21" t="s">
        <v>84</v>
      </c>
      <c r="H9" s="40"/>
      <c r="I9" s="21" t="s">
        <v>84</v>
      </c>
      <c r="J9" s="21" t="s">
        <v>84</v>
      </c>
      <c r="K9" s="21"/>
      <c r="L9" s="21" t="s">
        <v>84</v>
      </c>
      <c r="M9" s="21" t="s">
        <v>84</v>
      </c>
      <c r="N9" s="21"/>
      <c r="O9" s="40"/>
      <c r="P9" s="21"/>
      <c r="Q9" s="21"/>
      <c r="R9" s="21" t="s">
        <v>84</v>
      </c>
      <c r="S9" s="21" t="s">
        <v>84</v>
      </c>
      <c r="T9" s="21" t="s">
        <v>84</v>
      </c>
      <c r="U9" s="21" t="s">
        <v>84</v>
      </c>
      <c r="V9" s="40"/>
      <c r="W9" s="21" t="s">
        <v>84</v>
      </c>
      <c r="X9" s="21"/>
      <c r="Y9" s="21" t="s">
        <v>84</v>
      </c>
      <c r="Z9" s="21"/>
      <c r="AA9" s="21" t="s">
        <v>84</v>
      </c>
      <c r="AB9" s="21"/>
      <c r="AC9" s="40"/>
      <c r="AD9" s="21" t="s">
        <v>84</v>
      </c>
      <c r="AE9" s="21" t="s">
        <v>84</v>
      </c>
      <c r="AF9" s="21"/>
      <c r="AG9" s="21">
        <f>COUNTBLANK($B9:$AF9)</f>
        <v>13</v>
      </c>
      <c r="AH9" s="22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atrás" xr:uid="{8A76C932-1168-442B-BE54-5E2A24977812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30" zoomScaleNormal="13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5.28515625" bestFit="1" customWidth="1"/>
    <col min="2" max="2" width="9.42578125" bestFit="1" customWidth="1"/>
    <col min="3" max="3" width="18.42578125" bestFit="1" customWidth="1"/>
    <col min="4" max="4" width="10.5703125" bestFit="1" customWidth="1"/>
    <col min="5" max="5" width="17.7109375" style="3" customWidth="1"/>
    <col min="6" max="6" width="11.42578125" style="2"/>
  </cols>
  <sheetData>
    <row r="1" spans="1:6" x14ac:dyDescent="0.25">
      <c r="A1" s="46" t="s">
        <v>150</v>
      </c>
      <c r="B1" t="s">
        <v>2</v>
      </c>
      <c r="C1" t="s">
        <v>38</v>
      </c>
      <c r="D1" t="s">
        <v>49</v>
      </c>
      <c r="E1" s="4" t="s">
        <v>39</v>
      </c>
      <c r="F1" s="2" t="s">
        <v>40</v>
      </c>
    </row>
    <row r="2" spans="1:6" x14ac:dyDescent="0.25">
      <c r="B2">
        <v>1</v>
      </c>
      <c r="C2" t="s">
        <v>41</v>
      </c>
      <c r="D2" t="s">
        <v>50</v>
      </c>
      <c r="E2" s="3">
        <v>25000</v>
      </c>
      <c r="F2" s="2">
        <v>3000</v>
      </c>
    </row>
    <row r="3" spans="1:6" x14ac:dyDescent="0.25">
      <c r="B3">
        <v>2</v>
      </c>
      <c r="C3" t="s">
        <v>42</v>
      </c>
      <c r="D3" t="s">
        <v>50</v>
      </c>
      <c r="E3" s="3">
        <v>56000</v>
      </c>
      <c r="F3" s="2">
        <v>5399</v>
      </c>
    </row>
    <row r="4" spans="1:6" x14ac:dyDescent="0.25">
      <c r="B4">
        <v>3</v>
      </c>
      <c r="C4" t="s">
        <v>43</v>
      </c>
      <c r="D4" t="s">
        <v>51</v>
      </c>
      <c r="E4" s="3">
        <v>124999.99</v>
      </c>
      <c r="F4" s="2">
        <v>2380</v>
      </c>
    </row>
    <row r="5" spans="1:6" x14ac:dyDescent="0.25">
      <c r="B5">
        <v>4</v>
      </c>
      <c r="C5" t="s">
        <v>44</v>
      </c>
      <c r="D5" t="s">
        <v>52</v>
      </c>
      <c r="E5" s="3">
        <v>35500</v>
      </c>
      <c r="F5" s="2">
        <v>4500</v>
      </c>
    </row>
    <row r="6" spans="1:6" x14ac:dyDescent="0.25">
      <c r="B6">
        <v>5</v>
      </c>
      <c r="C6" t="s">
        <v>45</v>
      </c>
      <c r="D6" t="s">
        <v>51</v>
      </c>
      <c r="E6" s="3">
        <v>85750</v>
      </c>
      <c r="F6" s="2">
        <v>13599</v>
      </c>
    </row>
    <row r="7" spans="1:6" x14ac:dyDescent="0.25">
      <c r="B7">
        <v>6</v>
      </c>
      <c r="C7" t="s">
        <v>46</v>
      </c>
      <c r="D7" t="s">
        <v>51</v>
      </c>
      <c r="E7" s="3">
        <v>8599.99</v>
      </c>
      <c r="F7" s="2">
        <v>28390</v>
      </c>
    </row>
    <row r="8" spans="1:6" x14ac:dyDescent="0.25">
      <c r="B8">
        <v>7</v>
      </c>
      <c r="C8" t="s">
        <v>47</v>
      </c>
      <c r="D8" t="s">
        <v>50</v>
      </c>
      <c r="E8" s="3">
        <v>165800</v>
      </c>
      <c r="F8" s="2">
        <v>2890</v>
      </c>
    </row>
    <row r="9" spans="1:6" x14ac:dyDescent="0.25">
      <c r="B9">
        <v>8</v>
      </c>
      <c r="C9" t="s">
        <v>48</v>
      </c>
      <c r="D9" t="s">
        <v>52</v>
      </c>
      <c r="E9" s="3">
        <v>200530</v>
      </c>
      <c r="F9" s="2">
        <v>5000</v>
      </c>
    </row>
  </sheetData>
  <hyperlinks>
    <hyperlink ref="A1" location="menu!A1" display="Volver" xr:uid="{40C2321A-D476-4392-AE61-3EA790DD9B38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60" zoomScaleNormal="16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5.28515625" bestFit="1" customWidth="1"/>
    <col min="2" max="2" width="8.28515625" customWidth="1"/>
    <col min="3" max="3" width="10.42578125" customWidth="1"/>
    <col min="4" max="4" width="9.7109375" customWidth="1"/>
    <col min="5" max="5" width="9.42578125" customWidth="1"/>
    <col min="6" max="6" width="13.28515625" bestFit="1" customWidth="1"/>
    <col min="7" max="7" width="13.28515625" style="32" bestFit="1" customWidth="1"/>
    <col min="8" max="8" width="13.28515625" bestFit="1" customWidth="1"/>
    <col min="9" max="9" width="2.5703125" customWidth="1"/>
    <col min="10" max="10" width="19.7109375" customWidth="1"/>
    <col min="11" max="11" width="14.85546875" bestFit="1" customWidth="1"/>
  </cols>
  <sheetData>
    <row r="1" spans="1:11" x14ac:dyDescent="0.25">
      <c r="A1" s="46" t="s">
        <v>150</v>
      </c>
      <c r="B1" s="29" t="s">
        <v>57</v>
      </c>
      <c r="C1" s="29" t="s">
        <v>53</v>
      </c>
      <c r="D1" s="29" t="s">
        <v>54</v>
      </c>
      <c r="E1" s="29" t="s">
        <v>55</v>
      </c>
      <c r="F1" s="29" t="s">
        <v>39</v>
      </c>
      <c r="G1" s="30" t="s">
        <v>56</v>
      </c>
      <c r="H1" s="29" t="s">
        <v>72</v>
      </c>
      <c r="J1" s="7" t="s">
        <v>73</v>
      </c>
      <c r="K1" s="26" t="s">
        <v>109</v>
      </c>
    </row>
    <row r="2" spans="1:11" x14ac:dyDescent="0.25">
      <c r="B2" s="11" t="s">
        <v>58</v>
      </c>
      <c r="C2" s="11">
        <v>1</v>
      </c>
      <c r="D2" s="11">
        <v>2</v>
      </c>
      <c r="E2" s="11">
        <v>2</v>
      </c>
      <c r="F2" s="12">
        <v>56000</v>
      </c>
      <c r="G2" s="31">
        <f>tabla_ventas[[#This Row],[Cantidad]]*tabla_ventas[[#This Row],[Precio]]</f>
        <v>112000</v>
      </c>
      <c r="H2" s="12">
        <f>tabla_ventas[[#This Row],[Total]]*iva_ventas</f>
        <v>135520</v>
      </c>
      <c r="J2" s="10" t="s">
        <v>75</v>
      </c>
      <c r="K2" s="27" t="s">
        <v>76</v>
      </c>
    </row>
    <row r="3" spans="1:11" x14ac:dyDescent="0.25">
      <c r="B3" s="15" t="s">
        <v>59</v>
      </c>
      <c r="C3" s="15">
        <v>2</v>
      </c>
      <c r="D3" s="15">
        <v>5</v>
      </c>
      <c r="E3" s="15">
        <v>1</v>
      </c>
      <c r="F3" s="16">
        <v>85750</v>
      </c>
      <c r="G3" s="31">
        <f>tabla_ventas[[#This Row],[Cantidad]]*tabla_ventas[[#This Row],[Precio]]</f>
        <v>85750</v>
      </c>
      <c r="H3" s="16">
        <f>tabla_ventas[[#This Row],[Total]]*iva_ventas</f>
        <v>103757.5</v>
      </c>
      <c r="J3" s="14" t="s">
        <v>79</v>
      </c>
      <c r="K3" s="28">
        <f>COUNT($C:$C)</f>
        <v>15</v>
      </c>
    </row>
    <row r="4" spans="1:11" x14ac:dyDescent="0.25">
      <c r="B4" s="11" t="s">
        <v>60</v>
      </c>
      <c r="C4" s="11">
        <v>2</v>
      </c>
      <c r="D4" s="11">
        <v>4</v>
      </c>
      <c r="E4" s="11">
        <v>3</v>
      </c>
      <c r="F4" s="12">
        <v>35500</v>
      </c>
      <c r="G4" s="31">
        <f>tabla_ventas[[#This Row],[Cantidad]]*tabla_ventas[[#This Row],[Precio]]</f>
        <v>106500</v>
      </c>
      <c r="H4" s="12">
        <f>tabla_ventas[[#This Row],[Total]]*iva_ventas</f>
        <v>128865</v>
      </c>
      <c r="J4" s="10" t="s">
        <v>80</v>
      </c>
      <c r="K4" s="13">
        <f>SUM($G:$G)</f>
        <v>2264249.94</v>
      </c>
    </row>
    <row r="5" spans="1:11" x14ac:dyDescent="0.25">
      <c r="B5" s="15" t="s">
        <v>61</v>
      </c>
      <c r="C5" s="15">
        <v>4</v>
      </c>
      <c r="D5" s="15">
        <v>3</v>
      </c>
      <c r="E5" s="15">
        <v>4</v>
      </c>
      <c r="F5" s="16">
        <v>124999.99</v>
      </c>
      <c r="G5" s="31">
        <f>tabla_ventas[[#This Row],[Cantidad]]*tabla_ventas[[#This Row],[Precio]]</f>
        <v>499999.96</v>
      </c>
      <c r="H5" s="16">
        <f>tabla_ventas[[#This Row],[Total]]*iva_ventas</f>
        <v>604999.95160000003</v>
      </c>
      <c r="J5" s="14" t="s">
        <v>82</v>
      </c>
      <c r="K5" s="17">
        <f>AVERAGE($G:$G)</f>
        <v>150949.99599999998</v>
      </c>
    </row>
    <row r="6" spans="1:11" x14ac:dyDescent="0.25">
      <c r="B6" s="11" t="s">
        <v>62</v>
      </c>
      <c r="C6" s="11">
        <v>1</v>
      </c>
      <c r="D6" s="11">
        <v>2</v>
      </c>
      <c r="E6" s="11">
        <v>2</v>
      </c>
      <c r="F6" s="12">
        <v>56000</v>
      </c>
      <c r="G6" s="31">
        <f>tabla_ventas[[#This Row],[Cantidad]]*tabla_ventas[[#This Row],[Precio]]</f>
        <v>112000</v>
      </c>
      <c r="H6" s="12">
        <f>tabla_ventas[[#This Row],[Total]]*iva_ventas</f>
        <v>135520</v>
      </c>
      <c r="J6" s="10" t="s">
        <v>81</v>
      </c>
      <c r="K6" s="13">
        <f>MEDIAN($G:$G)</f>
        <v>112000</v>
      </c>
    </row>
    <row r="7" spans="1:11" x14ac:dyDescent="0.25">
      <c r="B7" s="15" t="s">
        <v>63</v>
      </c>
      <c r="C7" s="15">
        <v>1</v>
      </c>
      <c r="D7" s="15">
        <v>1</v>
      </c>
      <c r="E7" s="15">
        <v>1</v>
      </c>
      <c r="F7" s="16">
        <v>25000</v>
      </c>
      <c r="G7" s="31">
        <f>tabla_ventas[[#This Row],[Cantidad]]*tabla_ventas[[#This Row],[Precio]]</f>
        <v>25000</v>
      </c>
      <c r="H7" s="16">
        <f>tabla_ventas[[#This Row],[Total]]*iva_ventas</f>
        <v>30250</v>
      </c>
      <c r="J7" s="14" t="s">
        <v>78</v>
      </c>
      <c r="K7" s="28">
        <f>MODE($C:$C)</f>
        <v>1</v>
      </c>
    </row>
    <row r="8" spans="1:11" x14ac:dyDescent="0.25">
      <c r="B8" s="11" t="s">
        <v>64</v>
      </c>
      <c r="C8" s="11">
        <v>3</v>
      </c>
      <c r="D8" s="11">
        <v>2</v>
      </c>
      <c r="E8" s="11">
        <v>3</v>
      </c>
      <c r="F8" s="12">
        <v>56000</v>
      </c>
      <c r="G8" s="31">
        <f>tabla_ventas[[#This Row],[Cantidad]]*tabla_ventas[[#This Row],[Precio]]</f>
        <v>168000</v>
      </c>
      <c r="H8" s="12">
        <f>tabla_ventas[[#This Row],[Total]]*iva_ventas</f>
        <v>203280</v>
      </c>
      <c r="J8" s="5" t="s">
        <v>77</v>
      </c>
      <c r="K8" s="19">
        <f>MODE($D:$D)</f>
        <v>2</v>
      </c>
    </row>
    <row r="9" spans="1:11" x14ac:dyDescent="0.25">
      <c r="B9" s="15" t="s">
        <v>65</v>
      </c>
      <c r="C9" s="15">
        <v>2</v>
      </c>
      <c r="D9" s="15">
        <v>3</v>
      </c>
      <c r="E9" s="15">
        <v>2</v>
      </c>
      <c r="F9" s="16">
        <v>124999.99</v>
      </c>
      <c r="G9" s="31">
        <f>tabla_ventas[[#This Row],[Cantidad]]*tabla_ventas[[#This Row],[Precio]]</f>
        <v>249999.98</v>
      </c>
      <c r="H9" s="16">
        <f>tabla_ventas[[#This Row],[Total]]*iva_ventas</f>
        <v>302499.97580000001</v>
      </c>
    </row>
    <row r="10" spans="1:11" x14ac:dyDescent="0.25">
      <c r="B10" s="11" t="s">
        <v>66</v>
      </c>
      <c r="C10" s="11">
        <v>5</v>
      </c>
      <c r="D10" s="11">
        <v>4</v>
      </c>
      <c r="E10" s="11">
        <v>1</v>
      </c>
      <c r="F10" s="12">
        <v>35500</v>
      </c>
      <c r="G10" s="31">
        <f>tabla_ventas[[#This Row],[Cantidad]]*tabla_ventas[[#This Row],[Precio]]</f>
        <v>35500</v>
      </c>
      <c r="H10" s="12">
        <f>tabla_ventas[[#This Row],[Total]]*iva_ventas</f>
        <v>42955</v>
      </c>
    </row>
    <row r="11" spans="1:11" x14ac:dyDescent="0.25">
      <c r="B11" s="15" t="s">
        <v>67</v>
      </c>
      <c r="C11" s="15">
        <v>2</v>
      </c>
      <c r="D11" s="15">
        <v>5</v>
      </c>
      <c r="E11" s="15">
        <v>4</v>
      </c>
      <c r="F11" s="16">
        <v>85750</v>
      </c>
      <c r="G11" s="31">
        <f>tabla_ventas[[#This Row],[Cantidad]]*tabla_ventas[[#This Row],[Precio]]</f>
        <v>343000</v>
      </c>
      <c r="H11" s="16">
        <f>tabla_ventas[[#This Row],[Total]]*iva_ventas</f>
        <v>415030</v>
      </c>
    </row>
    <row r="12" spans="1:11" x14ac:dyDescent="0.25">
      <c r="B12" s="11" t="s">
        <v>68</v>
      </c>
      <c r="C12" s="11">
        <v>7</v>
      </c>
      <c r="D12" s="11">
        <v>2</v>
      </c>
      <c r="E12" s="11">
        <v>2</v>
      </c>
      <c r="F12" s="12">
        <v>56000</v>
      </c>
      <c r="G12" s="31">
        <f>tabla_ventas[[#This Row],[Cantidad]]*tabla_ventas[[#This Row],[Precio]]</f>
        <v>112000</v>
      </c>
      <c r="H12" s="12">
        <f>tabla_ventas[[#This Row],[Total]]*iva_ventas</f>
        <v>135520</v>
      </c>
    </row>
    <row r="13" spans="1:11" x14ac:dyDescent="0.25">
      <c r="B13" s="15" t="s">
        <v>69</v>
      </c>
      <c r="C13" s="15">
        <v>1</v>
      </c>
      <c r="D13" s="15">
        <v>1</v>
      </c>
      <c r="E13" s="15">
        <v>3</v>
      </c>
      <c r="F13" s="16">
        <v>25000</v>
      </c>
      <c r="G13" s="31">
        <f>tabla_ventas[[#This Row],[Cantidad]]*tabla_ventas[[#This Row],[Precio]]</f>
        <v>75000</v>
      </c>
      <c r="H13" s="16">
        <f>tabla_ventas[[#This Row],[Total]]*iva_ventas</f>
        <v>90750</v>
      </c>
    </row>
    <row r="14" spans="1:11" x14ac:dyDescent="0.25">
      <c r="B14" s="11" t="s">
        <v>70</v>
      </c>
      <c r="C14" s="11">
        <v>1</v>
      </c>
      <c r="D14" s="11">
        <v>2</v>
      </c>
      <c r="E14" s="11">
        <v>1</v>
      </c>
      <c r="F14" s="12">
        <v>56000</v>
      </c>
      <c r="G14" s="31">
        <f>tabla_ventas[[#This Row],[Cantidad]]*tabla_ventas[[#This Row],[Precio]]</f>
        <v>56000</v>
      </c>
      <c r="H14" s="12">
        <f>tabla_ventas[[#This Row],[Total]]*iva_ventas</f>
        <v>67760</v>
      </c>
    </row>
    <row r="15" spans="1:11" x14ac:dyDescent="0.25">
      <c r="B15" s="15" t="s">
        <v>71</v>
      </c>
      <c r="C15" s="15">
        <v>2</v>
      </c>
      <c r="D15" s="15">
        <v>5</v>
      </c>
      <c r="E15" s="15">
        <v>2</v>
      </c>
      <c r="F15" s="16">
        <v>85750</v>
      </c>
      <c r="G15" s="31">
        <f>tabla_ventas[[#This Row],[Cantidad]]*tabla_ventas[[#This Row],[Precio]]</f>
        <v>171500</v>
      </c>
      <c r="H15" s="16">
        <f>tabla_ventas[[#This Row],[Total]]*iva_ventas</f>
        <v>207515</v>
      </c>
    </row>
    <row r="16" spans="1:11" x14ac:dyDescent="0.25">
      <c r="B16" s="11" t="s">
        <v>74</v>
      </c>
      <c r="C16" s="11">
        <v>1</v>
      </c>
      <c r="D16" s="11">
        <v>2</v>
      </c>
      <c r="E16" s="11">
        <v>2</v>
      </c>
      <c r="F16" s="12">
        <v>56000</v>
      </c>
      <c r="G16" s="31">
        <f>tabla_ventas[[#This Row],[Cantidad]]*tabla_ventas[[#This Row],[Precio]]</f>
        <v>112000</v>
      </c>
      <c r="H16" s="12">
        <f>tabla_ventas[[#This Row],[Total]]*iva_ventas</f>
        <v>135520</v>
      </c>
    </row>
  </sheetData>
  <phoneticPr fontId="4" type="noConversion"/>
  <hyperlinks>
    <hyperlink ref="A1" location="menu!A1" display="Volver" xr:uid="{A2747F96-F73A-47F1-8C49-82AA64078E0A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5.28515625" bestFit="1" customWidth="1"/>
  </cols>
  <sheetData>
    <row r="1" spans="1:1" x14ac:dyDescent="0.25">
      <c r="A1" s="46" t="s">
        <v>150</v>
      </c>
    </row>
  </sheetData>
  <hyperlinks>
    <hyperlink ref="A1" location="menu!A1" display="Volver" xr:uid="{A91A2388-E58F-4E26-9A2B-ACFAE4BB8D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2022-12-15T19:49:06Z</dcterms:modified>
</cp:coreProperties>
</file>