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944B5502-3280-4E85-8484-0B17BA5C9AD1}" xr6:coauthVersionLast="47" xr6:coauthVersionMax="47" xr10:uidLastSave="{00000000-0000-0000-0000-000000000000}"/>
  <bookViews>
    <workbookView xWindow="-120" yWindow="-120" windowWidth="20730" windowHeight="11040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ventas" sheetId="3" r:id="rId6"/>
    <sheet name="estadisticas" sheetId="7" r:id="rId7"/>
  </sheets>
  <definedNames>
    <definedName name="ahora">datos!$Q$2</definedName>
    <definedName name="año">datos!$R$2</definedName>
    <definedName name="cant">ventas!$E:$E</definedName>
    <definedName name="hoy">datos!$P$2</definedName>
    <definedName name="iva">ventas!$K$2</definedName>
    <definedName name="precio">ventas!$F:$F</definedName>
    <definedName name="precio_iva">ventas!$H:$H</definedName>
    <definedName name="total">ventas!$G:$G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J3" i="5"/>
  <c r="J4" i="5"/>
  <c r="J5" i="5"/>
  <c r="J6" i="5"/>
  <c r="K2" i="5"/>
  <c r="K3" i="5"/>
  <c r="K4" i="5"/>
  <c r="K5" i="5"/>
  <c r="K6" i="5"/>
  <c r="I2" i="5"/>
  <c r="I3" i="5"/>
  <c r="I4" i="5"/>
  <c r="I5" i="5"/>
  <c r="I6" i="5"/>
  <c r="P2" i="5"/>
  <c r="S2" i="5" s="1"/>
  <c r="Q2" i="5"/>
  <c r="W2" i="5" s="1"/>
  <c r="AH6" i="4"/>
  <c r="B5" i="4"/>
  <c r="B5" i="5" s="1"/>
  <c r="B4" i="4"/>
  <c r="B4" i="5" s="1"/>
  <c r="B6" i="4"/>
  <c r="B6" i="5" s="1"/>
  <c r="AG5" i="4"/>
  <c r="AG6" i="4"/>
  <c r="AH5" i="4"/>
  <c r="AH2" i="4"/>
  <c r="AG2" i="4"/>
  <c r="AH3" i="4"/>
  <c r="AH4" i="4"/>
  <c r="AG3" i="4"/>
  <c r="AG4" i="4"/>
  <c r="B3" i="4"/>
  <c r="B3" i="5" s="1"/>
  <c r="B2" i="4"/>
  <c r="B2" i="5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G10" i="3"/>
  <c r="H10" i="3" s="1"/>
  <c r="G11" i="3"/>
  <c r="H11" i="3" s="1"/>
  <c r="G2" i="3"/>
  <c r="H2" i="3" s="1"/>
  <c r="I2" i="3" l="1"/>
  <c r="I5" i="3"/>
  <c r="H9" i="3"/>
  <c r="I9" i="3" s="1"/>
  <c r="AK3" i="4"/>
  <c r="I8" i="3"/>
  <c r="I4" i="3"/>
  <c r="I11" i="3"/>
  <c r="I7" i="3"/>
  <c r="I3" i="3"/>
  <c r="I10" i="3"/>
  <c r="I6" i="3"/>
  <c r="N6" i="5"/>
  <c r="M6" i="5"/>
  <c r="C6" i="5" s="1"/>
  <c r="M5" i="5"/>
  <c r="C5" i="5" s="1"/>
  <c r="N5" i="5"/>
  <c r="M4" i="5"/>
  <c r="C4" i="5" s="1"/>
  <c r="N4" i="5"/>
  <c r="M3" i="5"/>
  <c r="C3" i="5" s="1"/>
  <c r="N3" i="5"/>
  <c r="N2" i="5"/>
  <c r="M2" i="5"/>
  <c r="C2" i="5" s="1"/>
  <c r="G4" i="5"/>
  <c r="G6" i="5"/>
  <c r="G2" i="5"/>
  <c r="G5" i="5"/>
  <c r="G3" i="5"/>
  <c r="T2" i="5"/>
  <c r="U2" i="5"/>
  <c r="R2" i="5"/>
  <c r="V2" i="5"/>
  <c r="AK4" i="4"/>
  <c r="AK6" i="4"/>
  <c r="AL6" i="4"/>
  <c r="AL3" i="4"/>
  <c r="AL5" i="4"/>
  <c r="AK2" i="4"/>
  <c r="AK5" i="4"/>
  <c r="AK7" i="4"/>
  <c r="AL7" i="4"/>
  <c r="AL2" i="4"/>
  <c r="AL4" i="4"/>
  <c r="D3" i="5" l="1"/>
  <c r="D5" i="5"/>
  <c r="D4" i="5"/>
  <c r="D2" i="5"/>
  <c r="D6" i="5"/>
  <c r="F2" i="5" a="1"/>
  <c r="F2" i="5" s="1"/>
  <c r="F4" i="5" a="1"/>
  <c r="F4" i="5" s="1"/>
  <c r="F6" i="5" a="1"/>
  <c r="F6" i="5" s="1"/>
  <c r="F3" i="5" a="1"/>
  <c r="F3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<sst xmlns="http://schemas.openxmlformats.org/spreadsheetml/2006/main" count="210" uniqueCount="112">
  <si>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</si>
  <si>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</si>
  <si>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</si>
  <si>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</si>
  <si>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</si>
  <si>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</si>
  <si>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</si>
  <si>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</si>
  <si>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</si>
  <si>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</si>
  <si>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</si>
  <si>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</si>
  <si>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</si>
  <si>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</si>
  <si>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</si>
  <si>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</si>
  <si>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</si>
  <si>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</si>
  <si>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</si>
  <si>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</si>
  <si>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</si>
  <si>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</si>
  <si>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</si>
  <si>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</si>
  <si>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</si>
  <si>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</si>
  <si>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</si>
  <si>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</si>
  <si>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</si>
  <si>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</si>
  <si>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</si>
  <si>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</si>
  <si>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</si>
  <si>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</si>
  <si>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</si>
  <si>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</si>
  <si>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</si>
  <si>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</si>
  <si>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</si>
  <si>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</si>
  <si>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</si>
  <si>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</si>
  <si>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</si>
  <si>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</si>
  <si>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</si>
  <si>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</si>
  <si>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</si>
  <si>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</si>
  <si>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</si>
  <si>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</si>
  <si>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</si>
  <si>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</si>
  <si>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</si>
  <si>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</si>
  <si>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</si>
  <si>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</si>
  <si>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</si>
  <si>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</si>
  <si>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</si>
  <si>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</si>
  <si>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</si>
  <si>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</si>
  <si>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</si>
  <si>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</si>
  <si>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</si>
  <si>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</si>
  <si>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</si>
  <si>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</si>
  <si>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</si>
  <si>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</si>
  <si>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</si>
  <si>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</si>
  <si>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</si>
  <si>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</si>
  <si>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</si>
  <si>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</si>
  <si>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</si>
  <si>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</si>
  <si>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</si>
  <si>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</si>
  <si>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</si>
  <si>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</si>
  <si>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</si>
  <si>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</si>
  <si>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</si>
  <si>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</si>
  <si>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</si>
  <si>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</si>
  <si>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</si>
  <si>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</si>
  <si>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</si>
  <si>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</si>
  <si>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</si>
  <si>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</si>
  <si>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</si>
  <si>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</si>
  <si>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</si>
  <si>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</si>
  <si>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</si>
  <si>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</si>
  <si>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</si>
  <si>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</si>
  <si>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</si>
  <si>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</si>
  <si>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</si>
  <si>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</si>
  <si>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</si>
  <si>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</si>
  <si>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Internos</t>
  </si>
  <si>
    <t>Externos</t>
  </si>
  <si>
    <t>atras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</si>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</sst>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3" fillId="0" borderId="0" xfId="3" applyAlignment="1">
      <alignment horizontal="center"/>
    </xf>
    <xf numFmtId="0" fontId="6" fillId="0" borderId="0" xfId="4" applyFont="1" applyFill="1"/>
    <xf numFmtId="0" fontId="6" fillId="0" borderId="0" xfId="4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/>
    </xf>
  </cellXfs>
  <cellStyles count="5">
    <cellStyle name="Énfasis1" xfId="4" builtinId="29"/>
    <cellStyle name="Hipervínculo" xfId="3" builtinId="8"/>
    <cellStyle name="Millares" xfId="2" builtinId="3"/>
    <cellStyle name="Moneda" xfId="1" builtinId="4"/>
    <cellStyle name="Normal" xfId="0" builtinId="0"/>
  </cellStyles>
  <dxfs count="52"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empleados" displayName="empleados" ref="B1:F6" totalsRowShown="0">
  <autoFilter ref="B1:F6" xr:uid="{7DAC5F66-FDAB-4B10-8475-ECE8FAEEF22D}"/>
  <tableColumns count="5">
    <tableColumn id="1" xr3:uid="{9B2FABCB-122E-4021-BCB9-1ABCF38F08D1}" name="CODIGO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P1:W2" totalsRowShown="0">
  <autoFilter ref="P1:W2" xr:uid="{21CB7767-E429-4D32-8B4C-B110EB0BC09A}"/>
  <tableColumns count="8">
    <tableColumn id="1" xr3:uid="{D0C157DB-5866-4540-85DA-CA9246E3491C}" name="HOY" dataDxfId="51">
      <calculatedColumnFormula>TODAY()</calculatedColumnFormula>
    </tableColumn>
    <tableColumn id="2" xr3:uid="{F19B6CA2-44B0-4AA2-94E5-4821559CF825}" name="AHORA" dataDxfId="50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datos" displayName="datos" ref="B1:N6" totalsRowShown="0" headerRowDxfId="49" dataDxfId="48">
  <autoFilter ref="B1:N6" xr:uid="{A8CA9039-9259-406D-B167-9DC94801EDAB}"/>
  <tableColumns count="13">
    <tableColumn id="1" xr3:uid="{1E40E760-3B7A-46CB-ADE6-9C36221D8FBE}" name="empleado" dataDxfId="47">
      <calculatedColumnFormula>TRIM(presentismo[[#This Row],[Empleado]])</calculatedColumnFormula>
    </tableColumn>
    <tableColumn id="2" xr3:uid="{A673056C-D666-4A82-8F15-DA591ECD51CD}" name="APELLIDO" dataDxfId="46">
      <calculatedColumnFormula>LEFT(datos[[#This Row],[empleado]],datos[[#This Row],[p]] - 1)</calculatedColumnFormula>
    </tableColumn>
    <tableColumn id="3" xr3:uid="{98D588C0-9131-404A-823E-4F312157B4EE}" name="NOMBRE" dataDxfId="45">
      <calculatedColumnFormula>RIGHT(datos[[#This Row],[empleado]],datos[[#This Row],[largo]] - datos[[#This Row],[p]] - 1)</calculatedColumnFormula>
    </tableColumn>
    <tableColumn id="4" xr3:uid="{DA16E63D-3C7B-4235-BC8E-3EB411EC2AF9}" name="NACIMIENTO" dataDxfId="44"/>
    <tableColumn id="5" xr3:uid="{D65F57BC-8164-4AB7-8337-DE00B9FD8A3A}" name="AÑOS" dataDxfId="43">
      <calculatedColumnFormula array="1">tiempo[AÑO]-YEAR(datos[[#This Row],[NACIMIENTO]])</calculatedColumnFormula>
    </tableColumn>
    <tableColumn id="6" xr3:uid="{906FCDA3-636B-4283-9205-7AF46F977290}" name="EDAD" dataDxfId="42" dataCellStyle="Millares">
      <calculatedColumnFormula>(hoy-datos[[#This Row],[NACIMIENTO]])/365</calculatedColumnFormula>
    </tableColumn>
    <tableColumn id="7" xr3:uid="{019FA1D5-4F09-4717-AE40-B6C31AA7DC9C}" name="CUIL" dataDxfId="41"/>
    <tableColumn id="8" xr3:uid="{FECB634B-7A6D-4C5C-80DC-9D64C533A46D}" name="G" dataDxfId="40">
      <calculatedColumnFormula>LEFT(datos[[#This Row],[CUIL]],2)</calculatedColumnFormula>
    </tableColumn>
    <tableColumn id="9" xr3:uid="{4DAF6AA5-E15E-4B0E-A6B3-0413A3FC7025}" name="DOCMENTO" dataDxfId="39">
      <calculatedColumnFormula>MID(datos[[#This Row],[CUIL]],4,8)</calculatedColumnFormula>
    </tableColumn>
    <tableColumn id="10" xr3:uid="{98242B92-44B0-46D8-B255-BEFE9B217C6E}" name="V" dataDxfId="38">
      <calculatedColumnFormula>RIGHT(datos[[#This Row],[CUIL]],1)</calculatedColumnFormula>
    </tableColumn>
    <tableColumn id="11" xr3:uid="{96F6AC38-E0D7-4538-BF50-B26B716ECD40}" name="char" dataDxfId="37"/>
    <tableColumn id="12" xr3:uid="{900EA9DF-7806-4E2A-BE95-A5AA6FF29C93}" name="p" dataDxfId="36">
      <calculatedColumnFormula>FIND(datos[[#This Row],[char]],datos[[#This Row],[empleado]])</calculatedColumnFormula>
    </tableColumn>
    <tableColumn id="13" xr3:uid="{7A21E3B8-95EE-4371-95D5-EA3889520837}" name="largo" dataDxfId="35">
      <calculatedColumnFormula>LEN(datos[[#This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presentismo" displayName="presentismo" ref="B1:AH6" totalsRowShown="0" headerRowDxfId="34" dataDxfId="33">
  <autoFilter ref="B1:AH6" xr:uid="{5F56470C-30B4-4EBD-BFC4-C92DB644C2CF}"/>
  <tableColumns count="33">
    <tableColumn id="1" xr3:uid="{83429F3A-0633-41B4-A217-0D30DFCF116B}" name="Empleado" dataDxfId="32">
      <calculatedColumnFormula>_xlfn.CONCAT(empleados[[#This Row],[APELLIDO]]&amp;"; "&amp;empleados[[#This Row],[NOMBRE]])</calculatedColumnFormula>
    </tableColumn>
    <tableColumn id="2" xr3:uid="{887EC86C-1521-40B0-A6C3-0B2B3230C024}" name="1/11/22" dataDxfId="31"/>
    <tableColumn id="3" xr3:uid="{C8618297-DB24-4382-BD1E-E53E7DB10A63}" name="2/11/22" dataDxfId="30"/>
    <tableColumn id="4" xr3:uid="{6182BB9D-62C7-4740-9A83-3BF4CE62D8C0}" name="3/11/22" dataDxfId="29"/>
    <tableColumn id="5" xr3:uid="{C4722C79-3465-44B4-AAFE-AED718DFEF78}" name="4/11/22" dataDxfId="28"/>
    <tableColumn id="6" xr3:uid="{443CA749-360E-405C-BCF0-3AA088ECB546}" name="5/11/22" dataDxfId="27"/>
    <tableColumn id="7" xr3:uid="{DDC8BC93-6522-4621-A6CE-E663DAA5E060}" name="6/11/22" dataDxfId="26"/>
    <tableColumn id="8" xr3:uid="{044D1592-31CC-4BD8-9305-F821CBDE87C3}" name="7/11/22" dataDxfId="25"/>
    <tableColumn id="9" xr3:uid="{58B8F006-DDC6-45D4-913C-A9728CE4DEEB}" name="8/11/22" dataDxfId="24"/>
    <tableColumn id="10" xr3:uid="{2E67B63B-C7A3-4447-B240-2206A83EB1AE}" name="9/11/22" dataDxfId="23"/>
    <tableColumn id="11" xr3:uid="{E063B5BB-2482-4A97-B99C-CEE9E8FBC8AD}" name="10/11/22" dataDxfId="22"/>
    <tableColumn id="12" xr3:uid="{C388062D-2D19-400D-9799-432AF612D74D}" name="11/11/22" dataDxfId="21"/>
    <tableColumn id="13" xr3:uid="{AC73BB9A-6A78-4DB1-885C-194594FB6F10}" name="12/11/22" dataDxfId="20"/>
    <tableColumn id="14" xr3:uid="{06A3A94F-6999-487D-ABBD-26DFBE539387}" name="13/11/22" dataDxfId="19"/>
    <tableColumn id="15" xr3:uid="{50DAE1CB-9B50-4836-80C2-0F7D5D1DBF7E}" name="14/11/22" dataDxfId="18"/>
    <tableColumn id="16" xr3:uid="{BA731102-2D66-4B65-A41F-E60E74E4BC71}" name="15/11/22" dataDxfId="17"/>
    <tableColumn id="17" xr3:uid="{B971CE8E-7E54-4964-AB64-E900A025F05F}" name="16/11/22" dataDxfId="16"/>
    <tableColumn id="18" xr3:uid="{F3A47F16-27A5-4C5D-BF2D-83E030C5E47F}" name="17/11/22" dataDxfId="15"/>
    <tableColumn id="19" xr3:uid="{2DD162DD-96E2-41F4-AD3B-2ACC01BBF7A8}" name="18/11/22" dataDxfId="14"/>
    <tableColumn id="20" xr3:uid="{55AD600E-9E3F-4481-BAF3-174F391E80B6}" name="19/11/22" dataDxfId="13"/>
    <tableColumn id="21" xr3:uid="{CB5594F7-50A6-4AB3-8C66-47AE394E8A42}" name="20/11/22" dataDxfId="12"/>
    <tableColumn id="22" xr3:uid="{9BAC2972-6A5B-4717-B16D-0F035A83C001}" name="21/11/22" dataDxfId="11"/>
    <tableColumn id="23" xr3:uid="{2C7E1E57-A0FD-43F5-A1C0-D9CEF839010F}" name="22/11/22" dataDxfId="10"/>
    <tableColumn id="24" xr3:uid="{BF09FF2E-08CF-4C77-B995-FA552B07331C}" name="23/11/22" dataDxfId="9"/>
    <tableColumn id="25" xr3:uid="{F95FD232-FFA9-4C2A-8A79-A314A99627B1}" name="24/11/22" dataDxfId="8"/>
    <tableColumn id="26" xr3:uid="{4157B269-FC1E-4344-80EE-594F0938411C}" name="25/11/22" dataDxfId="7"/>
    <tableColumn id="27" xr3:uid="{500155F2-C488-4E91-95A3-7525D567F566}" name="26/11/22" dataDxfId="6"/>
    <tableColumn id="28" xr3:uid="{5743E408-8FAC-44AE-81BD-FE1F0BA91CEB}" name="27/11/22" dataDxfId="5"/>
    <tableColumn id="29" xr3:uid="{919A6993-970F-452F-9B2D-9D06989985BF}" name="28/11/22" dataDxfId="4"/>
    <tableColumn id="30" xr3:uid="{6FCC3D91-E530-49DC-9803-12984CBA6BE9}" name="29/11/22" dataDxfId="3"/>
    <tableColumn id="31" xr3:uid="{E6DAAE99-A983-4374-B5B5-FA292704266A}" name="30/11/22" dataDxfId="2"/>
    <tableColumn id="32" xr3:uid="{9612EC83-2684-4EAF-A263-5FD181F5472E}" name="ASIST" dataDxfId="1">
      <calculatedColumnFormula>COUNTA(C2:AF2)</calculatedColumnFormula>
    </tableColumn>
    <tableColumn id="33" xr3:uid="{CF4CC9FE-4916-47D6-BF2F-CC31868C00D4}" name="AUS" dataDxfId="0">
      <calculatedColumnFormula>COUNTBLANK(C2:AF2)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https://github.com/c215714n/EducacionIT/tree/excel-v10" TargetMode="Externa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introducc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H4"/>
  <sheetViews>
    <sheetView tabSelected="1" zoomScale="145" zoomScaleNormal="145" workbookViewId="0">
      <selection activeCell="C3" sqref="C3"/>
    </sheetView>
  </sheetViews>
  <sheetFormatPr baseColWidth="10" defaultRowHeight="15" x14ac:dyDescent="0.25"/>
  <cols>
    <col min="1" max="1" width="18.42578125" customWidth="1"/>
    <col min="8" max="8" width="3.7109375" bestFit="1" customWidth="1"/>
  </cols>
  <sheetData>
    <row r="1" spans="1:8" ht="60" customHeight="1" x14ac:dyDescent="0.25">
      <c r="H1" s="29" t="s">
        <v>108</v>
      </c>
    </row>
    <row r="2" spans="1:8" x14ac:dyDescent="0.25">
      <c r="A2" s="31"/>
      <c r="B2" s="35" t="s">
        <v>98</v>
      </c>
      <c r="C2" s="35" t="s">
        <v>99</v>
      </c>
      <c r="D2" s="35" t="s">
        <v>100</v>
      </c>
      <c r="E2" s="35" t="s">
        <v>101</v>
      </c>
      <c r="F2" s="35" t="s">
        <v>102</v>
      </c>
      <c r="G2" s="35" t="s">
        <v>50</v>
      </c>
      <c r="H2" s="29"/>
    </row>
    <row r="3" spans="1:8" ht="60" customHeight="1" x14ac:dyDescent="0.25">
      <c r="A3" s="33"/>
      <c r="B3" s="34"/>
      <c r="C3" s="34"/>
      <c r="D3" s="34"/>
      <c r="E3" s="34"/>
      <c r="F3" s="34"/>
      <c r="G3" s="34"/>
      <c r="H3" s="29" t="s">
        <v>109</v>
      </c>
    </row>
    <row r="4" spans="1:8" x14ac:dyDescent="0.25">
      <c r="A4" s="32"/>
      <c r="B4" s="35" t="s">
        <v>103</v>
      </c>
      <c r="C4" s="35" t="s">
        <v>104</v>
      </c>
      <c r="D4" s="35" t="s">
        <v>105</v>
      </c>
      <c r="E4" s="35" t="s">
        <v>111</v>
      </c>
      <c r="F4" s="35" t="s">
        <v>106</v>
      </c>
      <c r="G4" s="35" t="s">
        <v>107</v>
      </c>
      <c r="H4" s="29"/>
    </row>
  </sheetData>
  <mergeCells count="2">
    <mergeCell ref="H1:H2"/>
    <mergeCell ref="H3:H4"/>
  </mergeCells>
  <hyperlinks>
    <hyperlink ref="B2" location="empleados!A1" display="Empleados" xr:uid="{6804FC27-9203-4DBA-8D6C-376C27FE298D}"/>
    <hyperlink ref="C2" location="datos!A1" display="Datos" xr:uid="{95B4B2CA-F76F-4EDE-AD89-FABD1945827F}"/>
    <hyperlink ref="D2" location="presentismo!A1" display="Asistencia" xr:uid="{721BE012-66AF-40FB-8AA4-88D83F8A65DF}"/>
    <hyperlink ref="E2" location="productos!A1" display="Productos" xr:uid="{879548AE-FA71-43F2-A80B-9451463218EE}"/>
    <hyperlink ref="F2" location="ventas!A1" display="Ventas" xr:uid="{6E77832F-4432-4CDA-92E6-41CCFC5503FD}"/>
    <hyperlink ref="G2" location="estadisticas!A1" display="Estadisticas" xr:uid="{7EA053B9-79E3-4EA2-901A-779E743F5AFC}"/>
    <hyperlink ref="B4" r:id="rId1" xr:uid="{469E7BDF-AAAE-4702-AFCD-1FFC79427B87}"/>
    <hyperlink ref="C4" r:id="rId2" xr:uid="{580195E5-4F03-40CD-BE17-C7D722BA18BB}"/>
    <hyperlink ref="D4" r:id="rId3" xr:uid="{FFEBE6DB-262E-4357-8099-4D0AA8A0BE5A}"/>
    <hyperlink ref="E4" r:id="rId4" xr:uid="{EFA6FED0-2644-4928-8B05-19C80BA7BDEB}"/>
    <hyperlink ref="F4" r:id="rId5" xr:uid="{9512EF5E-D632-428D-889F-850ADAE7EC32}"/>
    <hyperlink ref="G4" r:id="rId6" xr:uid="{665BA96F-F433-485B-9104-A5BA73049A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G6"/>
  <sheetViews>
    <sheetView zoomScale="145" zoomScaleNormal="145" workbookViewId="0"/>
  </sheetViews>
  <sheetFormatPr baseColWidth="10" defaultRowHeight="15" x14ac:dyDescent="0.25"/>
  <cols>
    <col min="2" max="2" width="9.140625" bestFit="1" customWidth="1"/>
    <col min="3" max="3" width="10.5703125" bestFit="1" customWidth="1"/>
    <col min="4" max="4" width="16.5703125" bestFit="1" customWidth="1"/>
    <col min="5" max="5" width="10.42578125" bestFit="1" customWidth="1"/>
    <col min="6" max="6" width="8.7109375" bestFit="1" customWidth="1"/>
    <col min="7" max="7" width="4.42578125" customWidth="1"/>
    <col min="8" max="8" width="8.140625" bestFit="1" customWidth="1"/>
    <col min="9" max="9" width="9.42578125" bestFit="1" customWidth="1"/>
    <col min="10" max="10" width="8.85546875" bestFit="1" customWidth="1"/>
    <col min="11" max="11" width="7.5703125" bestFit="1" customWidth="1"/>
    <col min="12" max="12" width="7.7109375" bestFit="1" customWidth="1"/>
    <col min="13" max="13" width="8.140625" bestFit="1" customWidth="1"/>
    <col min="14" max="14" width="7.140625" bestFit="1" customWidth="1"/>
    <col min="15" max="15" width="6.42578125" bestFit="1" customWidth="1"/>
    <col min="16" max="16" width="5.85546875" bestFit="1" customWidth="1"/>
    <col min="17" max="17" width="6.7109375" bestFit="1" customWidth="1"/>
    <col min="18" max="18" width="5" bestFit="1" customWidth="1"/>
  </cols>
  <sheetData>
    <row r="1" spans="1:7" x14ac:dyDescent="0.25">
      <c r="A1" s="30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7" x14ac:dyDescent="0.25">
      <c r="B2">
        <v>1</v>
      </c>
      <c r="C2" t="s">
        <v>79</v>
      </c>
      <c r="D2" t="s">
        <v>78</v>
      </c>
      <c r="E2" t="s">
        <v>1</v>
      </c>
      <c r="F2" t="s">
        <v>2</v>
      </c>
    </row>
    <row r="3" spans="1:7" x14ac:dyDescent="0.25">
      <c r="B3">
        <v>2</v>
      </c>
      <c r="C3" t="s">
        <v>79</v>
      </c>
      <c r="D3" t="s">
        <v>80</v>
      </c>
      <c r="E3" t="s">
        <v>3</v>
      </c>
      <c r="F3" t="s">
        <v>4</v>
      </c>
    </row>
    <row r="4" spans="1:7" x14ac:dyDescent="0.25">
      <c r="B4">
        <v>3</v>
      </c>
      <c r="C4" t="s">
        <v>81</v>
      </c>
      <c r="D4" t="s">
        <v>82</v>
      </c>
      <c r="E4" t="s">
        <v>14</v>
      </c>
      <c r="F4" t="s">
        <v>2</v>
      </c>
      <c r="G4" s="10"/>
    </row>
    <row r="5" spans="1:7" x14ac:dyDescent="0.25">
      <c r="B5">
        <v>4</v>
      </c>
      <c r="C5" s="20" t="s">
        <v>61</v>
      </c>
      <c r="D5" t="s">
        <v>83</v>
      </c>
      <c r="E5" t="s">
        <v>62</v>
      </c>
      <c r="F5" t="s">
        <v>65</v>
      </c>
    </row>
    <row r="6" spans="1:7" x14ac:dyDescent="0.25">
      <c r="B6">
        <v>5</v>
      </c>
      <c r="C6" s="20" t="s">
        <v>84</v>
      </c>
      <c r="D6" t="s">
        <v>85</v>
      </c>
      <c r="E6" t="s">
        <v>63</v>
      </c>
      <c r="F6" t="s">
        <v>65</v>
      </c>
    </row>
  </sheetData>
  <phoneticPr fontId="7" type="noConversion"/>
  <hyperlinks>
    <hyperlink ref="C5" r:id="rId1" display="https://www.cuitonline.com/detalle/27452414711/osses-shakira-alejandra.html" xr:uid="{F2232659-C17D-4204-940D-345947882C0E}"/>
    <hyperlink ref="A1" location="menu!A1" display="atras" xr:uid="{6F69DE94-24BD-458D-80F6-2667C9EE1C4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B1:W6"/>
  <sheetViews>
    <sheetView zoomScale="145" zoomScaleNormal="145" workbookViewId="0"/>
  </sheetViews>
  <sheetFormatPr baseColWidth="10" defaultRowHeight="15" x14ac:dyDescent="0.25"/>
  <cols>
    <col min="2" max="2" width="0.140625" customWidth="1"/>
    <col min="3" max="3" width="10.5703125" customWidth="1"/>
    <col min="4" max="4" width="16.5703125" bestFit="1" customWidth="1"/>
    <col min="5" max="5" width="13.140625" customWidth="1"/>
    <col min="6" max="6" width="0.28515625" hidden="1" customWidth="1"/>
    <col min="7" max="7" width="7.7109375" bestFit="1" customWidth="1"/>
    <col min="8" max="8" width="14" bestFit="1" customWidth="1"/>
    <col min="9" max="9" width="4.28515625" bestFit="1" customWidth="1"/>
    <col min="10" max="10" width="12.28515625" bestFit="1" customWidth="1"/>
    <col min="11" max="11" width="3.42578125" customWidth="1"/>
    <col min="12" max="12" width="0.28515625" hidden="1" customWidth="1"/>
    <col min="13" max="13" width="4.42578125" hidden="1" customWidth="1"/>
    <col min="14" max="14" width="7.7109375" hidden="1" customWidth="1"/>
  </cols>
  <sheetData>
    <row r="1" spans="2:23" x14ac:dyDescent="0.25">
      <c r="B1" t="s">
        <v>74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s="4" t="s">
        <v>94</v>
      </c>
      <c r="I1" s="4" t="s">
        <v>95</v>
      </c>
      <c r="J1" s="4" t="s">
        <v>96</v>
      </c>
      <c r="K1" s="5" t="s">
        <v>97</v>
      </c>
      <c r="L1" s="25" t="s">
        <v>75</v>
      </c>
      <c r="M1" s="25" t="s">
        <v>64</v>
      </c>
      <c r="N1" s="25" t="s">
        <v>77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2:23" x14ac:dyDescent="0.25">
      <c r="B2" t="str">
        <f>TRIM(presentismo[[#This Row],[Empleado]])</f>
        <v>racedo; cristian Damian</v>
      </c>
      <c r="C2" t="str">
        <f>LEFT(datos[[#This Row],[empleado]],datos[[#This Row],[p]] - 1)</f>
        <v>racedo</v>
      </c>
      <c r="D2" t="str">
        <f>RIGHT(datos[[#This Row],[empleado]],datos[[#This Row],[largo]] - datos[[#This Row],[p]] - 1)</f>
        <v>cristian Damian</v>
      </c>
      <c r="E2" s="1">
        <v>33346</v>
      </c>
      <c r="F2" s="23" cm="1">
        <f t="array" aca="1" ref="F2" ca="1">tiempo[AÑO]-YEAR(datos[[#This Row],[NACIMIENTO]])</f>
        <v>31</v>
      </c>
      <c r="G2" s="24">
        <f ca="1">(hoy-datos[[#This Row],[NACIMIENTO]])/365</f>
        <v>31.684931506849313</v>
      </c>
      <c r="H2" s="6" t="s">
        <v>6</v>
      </c>
      <c r="I2" s="6" t="str">
        <f>LEFT(datos[[#This Row],[CUIL]],2)</f>
        <v>20</v>
      </c>
      <c r="J2" s="6" t="str">
        <f>MID(datos[[#This Row],[CUIL]],4,8)</f>
        <v>35336446</v>
      </c>
      <c r="K2" s="7" t="str">
        <f>RIGHT(datos[[#This Row],[CUIL]],1)</f>
        <v>5</v>
      </c>
      <c r="L2" s="26" t="s">
        <v>76</v>
      </c>
      <c r="M2" s="26">
        <f>FIND(datos[[#This Row],[char]],datos[[#This Row],[empleado]])</f>
        <v>7</v>
      </c>
      <c r="N2" s="26">
        <f>LEN(datos[[#This Row],[empleado]])</f>
        <v>23</v>
      </c>
      <c r="P2" s="1">
        <f ca="1">TODAY()</f>
        <v>44911</v>
      </c>
      <c r="Q2" s="22">
        <f ca="1">NOW()</f>
        <v>44911.450076851848</v>
      </c>
      <c r="R2">
        <f ca="1">YEAR(hoy)</f>
        <v>2022</v>
      </c>
      <c r="S2">
        <f ca="1">MONTH(hoy)</f>
        <v>12</v>
      </c>
      <c r="T2">
        <f ca="1">DAY(hoy)</f>
        <v>16</v>
      </c>
      <c r="U2">
        <f ca="1">HOUR(ahora)</f>
        <v>10</v>
      </c>
      <c r="V2">
        <f ca="1">MINUTE(ahora)</f>
        <v>48</v>
      </c>
      <c r="W2">
        <f ca="1">SECOND(ahora)</f>
        <v>7</v>
      </c>
    </row>
    <row r="3" spans="2:23" x14ac:dyDescent="0.25">
      <c r="B3" t="str">
        <f>TRIM(presentismo[[#This Row],[Empleado]])</f>
        <v>racedo; Abel Alejandro</v>
      </c>
      <c r="C3" t="str">
        <f>LEFT(datos[[#This Row],[empleado]],datos[[#This Row],[p]] - 1)</f>
        <v>racedo</v>
      </c>
      <c r="D3" t="str">
        <f>RIGHT(datos[[#This Row],[empleado]],datos[[#This Row],[largo]] - datos[[#This Row],[p]] - 1)</f>
        <v>Abel Alejandro</v>
      </c>
      <c r="E3" s="1">
        <v>34254</v>
      </c>
      <c r="F3" s="23" cm="1">
        <f t="array" aca="1" ref="F3" ca="1">tiempo[AÑO]-YEAR(datos[[#This Row],[NACIMIENTO]])</f>
        <v>29</v>
      </c>
      <c r="G3" s="24">
        <f ca="1">(hoy-datos[[#This Row],[NACIMIENTO]])/365</f>
        <v>29.197260273972603</v>
      </c>
      <c r="H3" s="8" t="s">
        <v>5</v>
      </c>
      <c r="I3" s="8" t="str">
        <f>LEFT(datos[[#This Row],[CUIL]],2)</f>
        <v>20</v>
      </c>
      <c r="J3" s="8" t="str">
        <f>MID(datos[[#This Row],[CUIL]],4,8)</f>
        <v>38558443</v>
      </c>
      <c r="K3" s="9" t="str">
        <f>RIGHT(datos[[#This Row],[CUIL]],1)</f>
        <v>6</v>
      </c>
      <c r="L3" s="27" t="s">
        <v>76</v>
      </c>
      <c r="M3" s="27">
        <f>FIND(datos[[#This Row],[char]],datos[[#This Row],[empleado]])</f>
        <v>7</v>
      </c>
      <c r="N3" s="27">
        <f>LEN(datos[[#This Row],[empleado]])</f>
        <v>22</v>
      </c>
    </row>
    <row r="4" spans="2:23" x14ac:dyDescent="0.25">
      <c r="B4" t="str">
        <f>TRIM(presentismo[[#This Row],[Empleado]])</f>
        <v>Aguilera; Cristina</v>
      </c>
      <c r="C4" t="str">
        <f>LEFT(datos[[#This Row],[empleado]],datos[[#This Row],[p]] - 1)</f>
        <v>Aguilera</v>
      </c>
      <c r="D4" t="str">
        <f>RIGHT(datos[[#This Row],[empleado]],datos[[#This Row],[largo]] - datos[[#This Row],[p]] - 1)</f>
        <v>Cristina</v>
      </c>
      <c r="E4" s="1">
        <v>29573</v>
      </c>
      <c r="F4" s="23" cm="1">
        <f t="array" aca="1" ref="F4" ca="1">tiempo[AÑO]-YEAR(datos[[#This Row],[NACIMIENTO]])</f>
        <v>42</v>
      </c>
      <c r="G4" s="24">
        <f ca="1">(hoy-datos[[#This Row],[NACIMIENTO]])/365</f>
        <v>42.021917808219179</v>
      </c>
      <c r="H4" s="6" t="s">
        <v>15</v>
      </c>
      <c r="I4" s="6" t="str">
        <f>LEFT(datos[[#This Row],[CUIL]],2)</f>
        <v>27</v>
      </c>
      <c r="J4" s="6" t="str">
        <f>MID(datos[[#This Row],[CUIL]],4,8)</f>
        <v>14093915</v>
      </c>
      <c r="K4" s="7" t="str">
        <f>RIGHT(datos[[#This Row],[CUIL]],1)</f>
        <v>9</v>
      </c>
      <c r="L4" s="26" t="s">
        <v>76</v>
      </c>
      <c r="M4" s="26">
        <f>FIND(datos[[#This Row],[char]],datos[[#This Row],[empleado]])</f>
        <v>9</v>
      </c>
      <c r="N4" s="26">
        <f>LEN(datos[[#This Row],[empleado]])</f>
        <v>18</v>
      </c>
    </row>
    <row r="5" spans="2:23" x14ac:dyDescent="0.25">
      <c r="B5" t="str">
        <f>TRIM(presentismo[[#This Row],[Empleado]])</f>
        <v>Osses; Shakira Alejandra</v>
      </c>
      <c r="C5" t="str">
        <f>LEFT(datos[[#This Row],[empleado]],datos[[#This Row],[p]] - 1)</f>
        <v>Osses</v>
      </c>
      <c r="D5" t="str">
        <f>RIGHT(datos[[#This Row],[empleado]],datos[[#This Row],[largo]] - datos[[#This Row],[p]] - 1)</f>
        <v>Shakira Alejandra</v>
      </c>
      <c r="E5" s="1">
        <v>28158</v>
      </c>
      <c r="F5" s="23" cm="1">
        <f t="array" aca="1" ref="F5" ca="1">tiempo[AÑO]-YEAR(datos[[#This Row],[NACIMIENTO]])</f>
        <v>45</v>
      </c>
      <c r="G5" s="24">
        <f ca="1">(hoy-datos[[#This Row],[NACIMIENTO]])/365</f>
        <v>45.898630136986299</v>
      </c>
      <c r="H5" s="8" t="s">
        <v>59</v>
      </c>
      <c r="I5" s="8" t="str">
        <f>LEFT(datos[[#This Row],[CUIL]],2)</f>
        <v>27</v>
      </c>
      <c r="J5" s="8" t="str">
        <f>MID(datos[[#This Row],[CUIL]],4,8)</f>
        <v>45241471</v>
      </c>
      <c r="K5" s="9" t="str">
        <f>RIGHT(datos[[#This Row],[CUIL]],1)</f>
        <v>1</v>
      </c>
      <c r="L5" s="27" t="s">
        <v>76</v>
      </c>
      <c r="M5" s="27">
        <f>FIND(datos[[#This Row],[char]],datos[[#This Row],[empleado]])</f>
        <v>6</v>
      </c>
      <c r="N5" s="27">
        <f>LEN(datos[[#This Row],[empleado]])</f>
        <v>24</v>
      </c>
    </row>
    <row r="6" spans="2:23" x14ac:dyDescent="0.25">
      <c r="B6" t="str">
        <f>TRIM(presentismo[[#This Row],[Empleado]])</f>
        <v>Messi; Lionel Andres</v>
      </c>
      <c r="C6" t="str">
        <f>LEFT(datos[[#This Row],[empleado]],datos[[#This Row],[p]] - 1)</f>
        <v>Messi</v>
      </c>
      <c r="D6" t="str">
        <f>RIGHT(datos[[#This Row],[empleado]],datos[[#This Row],[largo]] - datos[[#This Row],[p]] - 1)</f>
        <v>Lionel Andres</v>
      </c>
      <c r="E6" s="1">
        <v>31952</v>
      </c>
      <c r="F6" s="23" cm="1">
        <f t="array" aca="1" ref="F6" ca="1">tiempo[AÑO]-YEAR(datos[[#This Row],[NACIMIENTO]])</f>
        <v>35</v>
      </c>
      <c r="G6" s="24">
        <f ca="1">(hoy-datos[[#This Row],[NACIMIENTO]])/365</f>
        <v>35.504109589041093</v>
      </c>
      <c r="H6" s="6" t="s">
        <v>60</v>
      </c>
      <c r="I6" s="6" t="str">
        <f>LEFT(datos[[#This Row],[CUIL]],2)</f>
        <v>23</v>
      </c>
      <c r="J6" s="6" t="str">
        <f>MID(datos[[#This Row],[CUIL]],4,8)</f>
        <v>33016244</v>
      </c>
      <c r="K6" s="7" t="str">
        <f>RIGHT(datos[[#This Row],[CUIL]],1)</f>
        <v>9</v>
      </c>
      <c r="L6" s="26" t="s">
        <v>76</v>
      </c>
      <c r="M6" s="26">
        <f>FIND(datos[[#This Row],[char]],datos[[#This Row],[empleado]])</f>
        <v>6</v>
      </c>
      <c r="N6" s="26">
        <f>LEN(datos[[#This Row],[empleado]])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B1:AL31"/>
  <sheetViews>
    <sheetView zoomScale="145" zoomScaleNormal="145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" width="22.85546875" style="11" bestFit="1" customWidth="1"/>
    <col min="3" max="7" width="3.7109375" style="11" bestFit="1" customWidth="1"/>
    <col min="8" max="8" width="3.7109375" style="16" bestFit="1" customWidth="1"/>
    <col min="9" max="14" width="3.7109375" style="11" bestFit="1" customWidth="1"/>
    <col min="15" max="15" width="3.7109375" style="16" bestFit="1" customWidth="1"/>
    <col min="16" max="21" width="3.7109375" style="11" bestFit="1" customWidth="1"/>
    <col min="22" max="22" width="3.7109375" style="16" bestFit="1" customWidth="1"/>
    <col min="23" max="28" width="3.7109375" style="11" bestFit="1" customWidth="1"/>
    <col min="29" max="29" width="3.7109375" style="16" bestFit="1" customWidth="1"/>
    <col min="30" max="31" width="3.7109375" style="11" bestFit="1" customWidth="1"/>
    <col min="32" max="32" width="4.42578125" style="11" customWidth="1"/>
    <col min="33" max="33" width="8.28515625" style="11" bestFit="1" customWidth="1"/>
    <col min="34" max="34" width="8.28515625" bestFit="1" customWidth="1"/>
  </cols>
  <sheetData>
    <row r="1" spans="2:38" ht="45.75" x14ac:dyDescent="0.25">
      <c r="B1" s="11" t="s">
        <v>16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3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3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3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J1" t="s">
        <v>50</v>
      </c>
      <c r="AK1" t="s">
        <v>52</v>
      </c>
      <c r="AL1" t="s">
        <v>51</v>
      </c>
    </row>
    <row r="2" spans="2:38" x14ac:dyDescent="0.25">
      <c r="B2" s="17" t="str">
        <f>_xlfn.CONCAT(empleados[[#This Row],[APELLIDO]]&amp;"; "&amp;empleados[[#This Row],[NOMBRE]])</f>
        <v>racedo; cristian Damian</v>
      </c>
      <c r="C2" s="14" t="s">
        <v>17</v>
      </c>
      <c r="D2" s="14"/>
      <c r="E2" s="14"/>
      <c r="F2" s="14" t="s">
        <v>17</v>
      </c>
      <c r="G2" s="14" t="s">
        <v>17</v>
      </c>
      <c r="H2" s="15"/>
      <c r="I2" s="14" t="s">
        <v>17</v>
      </c>
      <c r="J2" s="14"/>
      <c r="K2" s="14" t="s">
        <v>17</v>
      </c>
      <c r="L2" s="14"/>
      <c r="M2" s="14" t="s">
        <v>17</v>
      </c>
      <c r="N2" s="14" t="s">
        <v>17</v>
      </c>
      <c r="O2" s="15"/>
      <c r="P2" s="14" t="s">
        <v>17</v>
      </c>
      <c r="Q2" s="14"/>
      <c r="R2" s="14" t="s">
        <v>17</v>
      </c>
      <c r="S2" s="14"/>
      <c r="T2" s="14" t="s">
        <v>17</v>
      </c>
      <c r="U2" s="14" t="s">
        <v>17</v>
      </c>
      <c r="V2" s="15"/>
      <c r="W2" s="14"/>
      <c r="X2" s="14" t="s">
        <v>17</v>
      </c>
      <c r="Y2" s="14" t="s">
        <v>17</v>
      </c>
      <c r="Z2" s="14" t="s">
        <v>17</v>
      </c>
      <c r="AA2" s="14" t="s">
        <v>17</v>
      </c>
      <c r="AB2" s="14" t="s">
        <v>17</v>
      </c>
      <c r="AC2" s="15"/>
      <c r="AD2" s="14" t="s">
        <v>17</v>
      </c>
      <c r="AE2" s="14" t="s">
        <v>17</v>
      </c>
      <c r="AF2" s="14" t="s">
        <v>17</v>
      </c>
      <c r="AG2" s="18">
        <f>COUNTA(C2:AF2)</f>
        <v>19</v>
      </c>
      <c r="AH2" s="18">
        <f>COUNTBLANK(C2:AF2)</f>
        <v>11</v>
      </c>
      <c r="AJ2" t="s">
        <v>58</v>
      </c>
      <c r="AK2">
        <f>SUM(presentismo[ASIST])</f>
        <v>88</v>
      </c>
      <c r="AL2">
        <f>SUM(presentismo[AUS])</f>
        <v>62</v>
      </c>
    </row>
    <row r="3" spans="2:38" x14ac:dyDescent="0.25">
      <c r="B3" s="17" t="str">
        <f>_xlfn.CONCAT(empleados[[#This Row],[APELLIDO]]&amp;"; "&amp;empleados[[#This Row],[NOMBRE]])</f>
        <v>racedo; Abel Alejandro</v>
      </c>
      <c r="C3" s="14"/>
      <c r="D3" s="11" t="s">
        <v>17</v>
      </c>
      <c r="F3" s="11" t="s">
        <v>17</v>
      </c>
      <c r="J3" s="11" t="s">
        <v>17</v>
      </c>
      <c r="K3" s="11" t="s">
        <v>17</v>
      </c>
      <c r="L3" s="11" t="s">
        <v>17</v>
      </c>
      <c r="M3" s="14" t="s">
        <v>17</v>
      </c>
      <c r="N3" s="14"/>
      <c r="O3" s="14"/>
      <c r="P3" s="14" t="s">
        <v>17</v>
      </c>
      <c r="Q3" s="14"/>
      <c r="R3" s="14" t="s">
        <v>17</v>
      </c>
      <c r="S3" s="14" t="s">
        <v>17</v>
      </c>
      <c r="T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A3" s="11" t="s">
        <v>17</v>
      </c>
      <c r="AD3" s="11" t="s">
        <v>17</v>
      </c>
      <c r="AG3" s="18">
        <f t="shared" ref="AG3:AG4" si="0">COUNTA(C3:AF3)</f>
        <v>16</v>
      </c>
      <c r="AH3" s="18">
        <f t="shared" ref="AH3:AH4" si="1">COUNTBLANK(C3:AF3)</f>
        <v>14</v>
      </c>
      <c r="AJ3" t="s">
        <v>53</v>
      </c>
      <c r="AK3">
        <f>MAX(presentismo[ASIST])</f>
        <v>19</v>
      </c>
      <c r="AL3">
        <f>MAX(presentismo[AUS])</f>
        <v>14</v>
      </c>
    </row>
    <row r="4" spans="2:38" x14ac:dyDescent="0.25">
      <c r="B4" s="17" t="str">
        <f>_xlfn.CONCAT(empleados[[#This Row],[APELLIDO]]&amp;"; "&amp;empleados[[#This Row],[NOMBRE]])</f>
        <v>Aguilera; Cristina</v>
      </c>
      <c r="C4" s="14"/>
      <c r="D4" s="11" t="s">
        <v>17</v>
      </c>
      <c r="E4" s="11" t="s">
        <v>17</v>
      </c>
      <c r="F4" s="11" t="s">
        <v>17</v>
      </c>
      <c r="G4" s="11" t="s">
        <v>17</v>
      </c>
      <c r="I4" s="11" t="s">
        <v>17</v>
      </c>
      <c r="K4" s="11" t="s">
        <v>17</v>
      </c>
      <c r="N4" s="11" t="s">
        <v>17</v>
      </c>
      <c r="O4" s="11"/>
      <c r="P4" s="11" t="s">
        <v>17</v>
      </c>
      <c r="Q4" s="11" t="s">
        <v>17</v>
      </c>
      <c r="S4" s="11" t="s">
        <v>17</v>
      </c>
      <c r="T4" s="11" t="s">
        <v>17</v>
      </c>
      <c r="U4" s="11" t="s">
        <v>17</v>
      </c>
      <c r="W4" s="11" t="s">
        <v>17</v>
      </c>
      <c r="Y4" s="11" t="s">
        <v>17</v>
      </c>
      <c r="Z4" s="11" t="s">
        <v>17</v>
      </c>
      <c r="AA4" s="11" t="s">
        <v>17</v>
      </c>
      <c r="AB4" s="11" t="s">
        <v>17</v>
      </c>
      <c r="AE4" s="11" t="s">
        <v>17</v>
      </c>
      <c r="AF4" s="11" t="s">
        <v>17</v>
      </c>
      <c r="AG4" s="18">
        <f t="shared" si="0"/>
        <v>19</v>
      </c>
      <c r="AH4" s="18">
        <f t="shared" si="1"/>
        <v>11</v>
      </c>
      <c r="AJ4" t="s">
        <v>54</v>
      </c>
      <c r="AK4">
        <f>MIN(presentismo[ASIST])</f>
        <v>16</v>
      </c>
      <c r="AL4">
        <f>MIN(presentismo[AUS])</f>
        <v>11</v>
      </c>
    </row>
    <row r="5" spans="2:38" x14ac:dyDescent="0.25">
      <c r="B5" s="17" t="str">
        <f>_xlfn.CONCAT(empleados[[#This Row],[APELLIDO]]&amp;"; "&amp;empleados[[#This Row],[NOMBRE]])</f>
        <v>Osses; Shakira Alejandra</v>
      </c>
      <c r="C5" s="11" t="s">
        <v>17</v>
      </c>
      <c r="E5" s="11" t="s">
        <v>17</v>
      </c>
      <c r="G5" s="21" t="s">
        <v>64</v>
      </c>
      <c r="H5" s="11"/>
      <c r="I5" s="11" t="s">
        <v>17</v>
      </c>
      <c r="J5" s="11" t="s">
        <v>17</v>
      </c>
      <c r="K5" s="11" t="s">
        <v>17</v>
      </c>
      <c r="M5" s="11" t="s">
        <v>17</v>
      </c>
      <c r="O5" s="11"/>
      <c r="P5" s="11" t="s">
        <v>17</v>
      </c>
      <c r="R5" s="11" t="s">
        <v>17</v>
      </c>
      <c r="T5" s="11" t="s">
        <v>64</v>
      </c>
      <c r="U5" s="14"/>
      <c r="V5" s="14"/>
      <c r="W5" s="14" t="s">
        <v>17</v>
      </c>
      <c r="X5" s="14" t="s">
        <v>17</v>
      </c>
      <c r="Y5" s="14" t="s">
        <v>17</v>
      </c>
      <c r="AB5" s="11" t="s">
        <v>64</v>
      </c>
      <c r="AE5" s="11" t="s">
        <v>64</v>
      </c>
      <c r="AF5" s="11" t="s">
        <v>64</v>
      </c>
      <c r="AG5" s="18">
        <f t="shared" ref="AG5:AG6" si="2">COUNTA(C5:AF5)</f>
        <v>16</v>
      </c>
      <c r="AH5" s="18">
        <f t="shared" ref="AH5" si="3">COUNTBLANK(C5:AF5)</f>
        <v>14</v>
      </c>
      <c r="AJ5" t="s">
        <v>55</v>
      </c>
      <c r="AK5" s="19">
        <f>AVERAGE(presentismo[ASIST])</f>
        <v>17.600000000000001</v>
      </c>
      <c r="AL5" s="19">
        <f>AVERAGE(presentismo[AUS])</f>
        <v>12.4</v>
      </c>
    </row>
    <row r="6" spans="2:38" x14ac:dyDescent="0.25">
      <c r="B6" s="17" t="str">
        <f>_xlfn.CONCAT(empleados[[#This Row],[APELLIDO]]&amp;"; "&amp;empleados[[#This Row],[NOMBRE]])</f>
        <v>Messi; Lionel Andres</v>
      </c>
      <c r="C6" s="11" t="s">
        <v>17</v>
      </c>
      <c r="D6" s="11" t="s">
        <v>17</v>
      </c>
      <c r="E6" s="11" t="s">
        <v>17</v>
      </c>
      <c r="F6" s="11" t="s">
        <v>17</v>
      </c>
      <c r="G6" s="16"/>
      <c r="H6" s="11"/>
      <c r="J6" s="11" t="s">
        <v>17</v>
      </c>
      <c r="L6" s="11" t="s">
        <v>17</v>
      </c>
      <c r="M6" s="11" t="s">
        <v>17</v>
      </c>
      <c r="N6" s="11" t="s">
        <v>17</v>
      </c>
      <c r="O6" s="11"/>
      <c r="P6" s="11" t="s">
        <v>17</v>
      </c>
      <c r="S6" s="11" t="s">
        <v>64</v>
      </c>
      <c r="U6" s="11" t="s">
        <v>17</v>
      </c>
      <c r="V6" s="11"/>
      <c r="W6" s="11" t="s">
        <v>17</v>
      </c>
      <c r="X6" s="11" t="s">
        <v>17</v>
      </c>
      <c r="Y6" s="11" t="s">
        <v>17</v>
      </c>
      <c r="AA6" s="11" t="s">
        <v>64</v>
      </c>
      <c r="AB6" s="11" t="s">
        <v>64</v>
      </c>
      <c r="AD6" s="11" t="s">
        <v>64</v>
      </c>
      <c r="AE6" s="11" t="s">
        <v>64</v>
      </c>
      <c r="AG6" s="18">
        <f t="shared" si="2"/>
        <v>18</v>
      </c>
      <c r="AH6" s="18">
        <f>COUNTBLANK(C6:AF6)</f>
        <v>12</v>
      </c>
      <c r="AJ6" t="s">
        <v>56</v>
      </c>
      <c r="AK6">
        <f>MEDIAN(presentismo[ASIST])</f>
        <v>18</v>
      </c>
      <c r="AL6">
        <f>MEDIAN(presentismo[AUS])</f>
        <v>12</v>
      </c>
    </row>
    <row r="7" spans="2:38" x14ac:dyDescent="0.25">
      <c r="C7" s="14"/>
      <c r="AJ7" t="s">
        <v>57</v>
      </c>
      <c r="AK7">
        <f>MODE(presentismo[ASIST])</f>
        <v>19</v>
      </c>
      <c r="AL7">
        <f>MODE(presentismo[AUS])</f>
        <v>11</v>
      </c>
    </row>
    <row r="8" spans="2:38" x14ac:dyDescent="0.25">
      <c r="C8" s="14"/>
    </row>
    <row r="9" spans="2:38" x14ac:dyDescent="0.25">
      <c r="C9" s="14"/>
    </row>
    <row r="10" spans="2:38" x14ac:dyDescent="0.25">
      <c r="C10" s="14"/>
    </row>
    <row r="11" spans="2:38" x14ac:dyDescent="0.25">
      <c r="C11" s="14"/>
    </row>
    <row r="12" spans="2:38" x14ac:dyDescent="0.25">
      <c r="C12" s="14"/>
    </row>
    <row r="13" spans="2:38" x14ac:dyDescent="0.25">
      <c r="C13" s="14"/>
    </row>
    <row r="14" spans="2:38" x14ac:dyDescent="0.25">
      <c r="C14" s="14"/>
    </row>
    <row r="15" spans="2:38" x14ac:dyDescent="0.25">
      <c r="C15" s="14"/>
    </row>
    <row r="16" spans="2:3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K11"/>
  <sheetViews>
    <sheetView zoomScale="130" zoomScaleNormal="130" workbookViewId="0"/>
  </sheetViews>
  <sheetFormatPr baseColWidth="10" defaultRowHeight="15" x14ac:dyDescent="0.25"/>
  <cols>
    <col min="2" max="2" width="6.85546875" bestFit="1" customWidth="1"/>
    <col min="3" max="3" width="9.5703125" bestFit="1" customWidth="1"/>
    <col min="4" max="4" width="9" bestFit="1" customWidth="1"/>
    <col min="5" max="5" width="4.7109375" bestFit="1" customWidth="1"/>
    <col min="6" max="8" width="12.7109375" style="3" bestFit="1" customWidth="1"/>
    <col min="9" max="9" width="13.7109375" style="3" bestFit="1" customWidth="1"/>
  </cols>
  <sheetData>
    <row r="1" spans="1:11" x14ac:dyDescent="0.25">
      <c r="A1" s="28"/>
      <c r="B1" t="s">
        <v>0</v>
      </c>
      <c r="C1" t="s">
        <v>10</v>
      </c>
      <c r="D1" t="s">
        <v>7</v>
      </c>
      <c r="E1" t="s">
        <v>13</v>
      </c>
      <c r="F1" s="3" t="s">
        <v>8</v>
      </c>
      <c r="G1" s="3" t="s">
        <v>9</v>
      </c>
      <c r="H1" s="3" t="s">
        <v>11</v>
      </c>
      <c r="I1" s="3" t="s">
        <v>12</v>
      </c>
      <c r="K1" t="s">
        <v>11</v>
      </c>
    </row>
    <row r="2" spans="1:11" x14ac:dyDescent="0.25">
      <c r="B2">
        <v>1</v>
      </c>
      <c r="C2">
        <v>1</v>
      </c>
      <c r="D2">
        <v>5</v>
      </c>
      <c r="E2">
        <v>2</v>
      </c>
      <c r="F2" s="3">
        <v>15000</v>
      </c>
      <c r="G2" s="3">
        <f t="shared" ref="G2:G11" si="0">cant*precio</f>
        <v>30000</v>
      </c>
      <c r="H2" s="3">
        <f t="shared" ref="H2:H11" si="1">total*iva</f>
        <v>6300</v>
      </c>
      <c r="I2" s="3">
        <f>total +precio_iva</f>
        <v>36300</v>
      </c>
      <c r="K2" s="2">
        <v>0.21</v>
      </c>
    </row>
    <row r="3" spans="1:11" x14ac:dyDescent="0.25">
      <c r="B3">
        <v>2</v>
      </c>
      <c r="C3">
        <v>1</v>
      </c>
      <c r="D3">
        <v>1</v>
      </c>
      <c r="E3">
        <v>4</v>
      </c>
      <c r="F3" s="3">
        <v>5400</v>
      </c>
      <c r="G3" s="3">
        <f t="shared" si="0"/>
        <v>21600</v>
      </c>
      <c r="H3" s="3">
        <f t="shared" si="1"/>
        <v>4536</v>
      </c>
      <c r="I3" s="3">
        <f t="shared" ref="I2:I11" si="2">total +precio_iva</f>
        <v>26136</v>
      </c>
    </row>
    <row r="4" spans="1:11" x14ac:dyDescent="0.25">
      <c r="B4">
        <v>3</v>
      </c>
      <c r="C4">
        <v>2</v>
      </c>
      <c r="D4">
        <v>2</v>
      </c>
      <c r="E4">
        <v>3</v>
      </c>
      <c r="F4" s="3">
        <v>3800</v>
      </c>
      <c r="G4" s="3">
        <f t="shared" si="0"/>
        <v>11400</v>
      </c>
      <c r="H4" s="3">
        <f t="shared" si="1"/>
        <v>2394</v>
      </c>
      <c r="I4" s="3">
        <f t="shared" si="2"/>
        <v>13794</v>
      </c>
    </row>
    <row r="5" spans="1:11" x14ac:dyDescent="0.25">
      <c r="B5">
        <v>4</v>
      </c>
      <c r="C5">
        <v>2</v>
      </c>
      <c r="D5">
        <v>3</v>
      </c>
      <c r="E5">
        <v>1</v>
      </c>
      <c r="F5" s="3">
        <v>600</v>
      </c>
      <c r="G5" s="3">
        <f t="shared" si="0"/>
        <v>600</v>
      </c>
      <c r="H5" s="3">
        <f t="shared" si="1"/>
        <v>126</v>
      </c>
      <c r="I5" s="3">
        <f t="shared" si="2"/>
        <v>726</v>
      </c>
    </row>
    <row r="6" spans="1:11" x14ac:dyDescent="0.25">
      <c r="B6">
        <v>5</v>
      </c>
      <c r="C6">
        <v>1</v>
      </c>
      <c r="D6">
        <v>4</v>
      </c>
      <c r="E6">
        <v>6</v>
      </c>
      <c r="F6" s="3">
        <v>8800</v>
      </c>
      <c r="G6" s="3">
        <f t="shared" si="0"/>
        <v>52800</v>
      </c>
      <c r="H6" s="3">
        <f t="shared" si="1"/>
        <v>11088</v>
      </c>
      <c r="I6" s="3">
        <f t="shared" si="2"/>
        <v>63888</v>
      </c>
    </row>
    <row r="7" spans="1:11" x14ac:dyDescent="0.25">
      <c r="B7">
        <v>6</v>
      </c>
      <c r="C7">
        <v>2</v>
      </c>
      <c r="D7">
        <v>4</v>
      </c>
      <c r="E7">
        <v>10</v>
      </c>
      <c r="F7" s="3">
        <v>8800</v>
      </c>
      <c r="G7" s="3">
        <f t="shared" si="0"/>
        <v>88000</v>
      </c>
      <c r="H7" s="3">
        <f t="shared" si="1"/>
        <v>18480</v>
      </c>
      <c r="I7" s="3">
        <f t="shared" si="2"/>
        <v>106480</v>
      </c>
    </row>
    <row r="8" spans="1:11" x14ac:dyDescent="0.25">
      <c r="B8">
        <v>7</v>
      </c>
      <c r="C8">
        <v>1</v>
      </c>
      <c r="D8">
        <v>3</v>
      </c>
      <c r="E8">
        <v>30</v>
      </c>
      <c r="F8" s="3">
        <v>600</v>
      </c>
      <c r="G8" s="3">
        <f t="shared" si="0"/>
        <v>18000</v>
      </c>
      <c r="H8" s="3">
        <f t="shared" si="1"/>
        <v>3780</v>
      </c>
      <c r="I8" s="3">
        <f t="shared" si="2"/>
        <v>21780</v>
      </c>
    </row>
    <row r="9" spans="1:11" x14ac:dyDescent="0.25">
      <c r="B9">
        <v>8</v>
      </c>
      <c r="C9">
        <v>2</v>
      </c>
      <c r="D9">
        <v>2</v>
      </c>
      <c r="E9">
        <v>2</v>
      </c>
      <c r="F9" s="3">
        <v>3800</v>
      </c>
      <c r="G9" s="3">
        <f t="shared" si="0"/>
        <v>7600</v>
      </c>
      <c r="H9" s="3">
        <f t="shared" si="1"/>
        <v>1596</v>
      </c>
      <c r="I9" s="3">
        <f t="shared" si="2"/>
        <v>9196</v>
      </c>
    </row>
    <row r="10" spans="1:11" x14ac:dyDescent="0.25">
      <c r="B10">
        <v>9</v>
      </c>
      <c r="C10">
        <v>1</v>
      </c>
      <c r="D10">
        <v>5</v>
      </c>
      <c r="E10">
        <v>1</v>
      </c>
      <c r="F10" s="3">
        <v>15000</v>
      </c>
      <c r="G10" s="3">
        <f t="shared" si="0"/>
        <v>15000</v>
      </c>
      <c r="H10" s="3">
        <f t="shared" si="1"/>
        <v>3150</v>
      </c>
      <c r="I10" s="3">
        <f t="shared" si="2"/>
        <v>18150</v>
      </c>
    </row>
    <row r="11" spans="1:11" x14ac:dyDescent="0.25">
      <c r="B11">
        <v>10</v>
      </c>
      <c r="C11">
        <v>1</v>
      </c>
      <c r="D11">
        <v>2</v>
      </c>
      <c r="E11">
        <v>2</v>
      </c>
      <c r="F11" s="3">
        <v>3800</v>
      </c>
      <c r="G11" s="3">
        <f t="shared" si="0"/>
        <v>7600</v>
      </c>
      <c r="H11" s="3">
        <f t="shared" si="1"/>
        <v>1596</v>
      </c>
      <c r="I11" s="3">
        <f t="shared" si="2"/>
        <v>9196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E50-C0D3-438C-882B-3AEDD4D303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menu</vt:lpstr>
      <vt:lpstr>empleados</vt:lpstr>
      <vt:lpstr>datos</vt:lpstr>
      <vt:lpstr>presentismo</vt:lpstr>
      <vt:lpstr>productos</vt:lpstr>
      <vt:lpstr>ventas</vt:lpstr>
      <vt:lpstr>estadisticas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2022-12-16T13:54:12Z</dcterms:modified>
</cp:coreProperties>
</file>