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slicers/slicer2.xml" ContentType="application/vnd.ms-excel.slicer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mjv13\"/>
    </mc:Choice>
  </mc:AlternateContent>
  <xr:revisionPtr revIDLastSave="0" documentId="13_ncr:1_{66C84317-20FD-4F4F-B88C-0A3727E95433}" xr6:coauthVersionLast="47" xr6:coauthVersionMax="47" xr10:uidLastSave="{00000000-0000-0000-0000-000000000000}"/>
  <bookViews>
    <workbookView xWindow="-120" yWindow="-120" windowWidth="20730" windowHeight="11040" tabRatio="487" firstSheet="2" activeTab="6" xr2:uid="{00000000-000D-0000-FFFF-FFFF00000000}"/>
  </bookViews>
  <sheets>
    <sheet name="menu" sheetId="6" r:id="rId1"/>
    <sheet name="empleados" sheetId="1" r:id="rId2"/>
    <sheet name="Datos" sheetId="5" r:id="rId3"/>
    <sheet name="presentismo" sheetId="4" r:id="rId4"/>
    <sheet name="productos" sheetId="2" r:id="rId5"/>
    <sheet name="prod_din" sheetId="8" r:id="rId6"/>
    <sheet name="ventas" sheetId="3" r:id="rId7"/>
    <sheet name="estadisticas" sheetId="7" r:id="rId8"/>
  </sheets>
  <definedNames>
    <definedName name="año_actual">empleados!$O$2</definedName>
    <definedName name="char">Datos!$K$2</definedName>
    <definedName name="fecha_actual">empleados!$M$2</definedName>
    <definedName name="iva_ventas">ventas!$K$1</definedName>
    <definedName name="SegmentaciónDeDatos_Categoria">#N/A</definedName>
    <definedName name="SegmentaciónDeDatos_Empleado">#N/A</definedName>
    <definedName name="SegmentaciónDeDatos_Marca">#N/A</definedName>
    <definedName name="SegmentaciónDeDatos_Producto">#N/A</definedName>
  </definedNames>
  <calcPr calcId="191029"/>
  <pivotCaches>
    <pivotCache cacheId="4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  <x14:slicerCache r:id="rId13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3" l="1"/>
  <c r="H6" i="3" s="1"/>
  <c r="G7" i="3"/>
  <c r="H7" i="3" s="1"/>
  <c r="G8" i="3"/>
  <c r="H8" i="3" s="1"/>
  <c r="G9" i="3"/>
  <c r="H9" i="3" s="1"/>
  <c r="G25" i="3"/>
  <c r="H25" i="3" s="1"/>
  <c r="G24" i="3"/>
  <c r="H24" i="3" s="1"/>
  <c r="G23" i="3"/>
  <c r="H23" i="3" s="1"/>
  <c r="G22" i="3"/>
  <c r="H22" i="3" s="1"/>
  <c r="I8" i="2"/>
  <c r="I13" i="2"/>
  <c r="I14" i="2"/>
  <c r="I15" i="2"/>
  <c r="I16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G21" i="3"/>
  <c r="H21" i="3" s="1"/>
  <c r="G5" i="3"/>
  <c r="H2" i="5"/>
  <c r="H3" i="5"/>
  <c r="H4" i="5"/>
  <c r="H5" i="5"/>
  <c r="H6" i="5"/>
  <c r="H7" i="5"/>
  <c r="H8" i="5"/>
  <c r="H9" i="5"/>
  <c r="K10" i="3"/>
  <c r="B2" i="4"/>
  <c r="AG2" i="4" s="1"/>
  <c r="M2" i="1"/>
  <c r="O2" i="1" s="1"/>
  <c r="F2" i="1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10" i="3"/>
  <c r="H10" i="3" s="1"/>
  <c r="G2" i="3"/>
  <c r="H2" i="3" s="1"/>
  <c r="G3" i="3"/>
  <c r="H3" i="3" s="1"/>
  <c r="G4" i="3"/>
  <c r="H4" i="3" s="1"/>
  <c r="C19" i="1"/>
  <c r="D19" i="1"/>
  <c r="I5" i="1"/>
  <c r="I6" i="1"/>
  <c r="I7" i="1"/>
  <c r="I8" i="1"/>
  <c r="I9" i="1"/>
  <c r="I4" i="1"/>
  <c r="I3" i="1"/>
  <c r="J5" i="1"/>
  <c r="J6" i="1"/>
  <c r="J7" i="1"/>
  <c r="J8" i="1"/>
  <c r="J9" i="1"/>
  <c r="J4" i="1"/>
  <c r="J3" i="1"/>
  <c r="H5" i="1"/>
  <c r="H6" i="1"/>
  <c r="H7" i="1"/>
  <c r="H8" i="1"/>
  <c r="H9" i="1"/>
  <c r="H4" i="1"/>
  <c r="H3" i="1"/>
  <c r="I2" i="1"/>
  <c r="J2" i="1"/>
  <c r="H2" i="1"/>
  <c r="N2" i="1"/>
  <c r="R2" i="1" s="1"/>
  <c r="AH3" i="4"/>
  <c r="AH4" i="4"/>
  <c r="AH5" i="4"/>
  <c r="AH6" i="4"/>
  <c r="AH7" i="4"/>
  <c r="AH8" i="4"/>
  <c r="AH9" i="4"/>
  <c r="AH2" i="4"/>
  <c r="B3" i="4"/>
  <c r="AG3" i="4" s="1"/>
  <c r="B4" i="4"/>
  <c r="AG4" i="4" s="1"/>
  <c r="B5" i="4"/>
  <c r="AG5" i="4" s="1"/>
  <c r="B6" i="4"/>
  <c r="AG6" i="4" s="1"/>
  <c r="B7" i="4"/>
  <c r="AG7" i="4" s="1"/>
  <c r="B8" i="4"/>
  <c r="AG8" i="4" s="1"/>
  <c r="B9" i="4"/>
  <c r="AG9" i="4" s="1"/>
  <c r="K9" i="3"/>
  <c r="K3" i="3"/>
  <c r="I5" i="5" l="1"/>
  <c r="I10" i="2"/>
  <c r="I9" i="2"/>
  <c r="I12" i="2"/>
  <c r="I11" i="2"/>
  <c r="O5" i="2"/>
  <c r="M7" i="2"/>
  <c r="I6" i="2"/>
  <c r="I2" i="2"/>
  <c r="O4" i="2"/>
  <c r="M6" i="2"/>
  <c r="O7" i="2"/>
  <c r="I5" i="2"/>
  <c r="N2" i="2"/>
  <c r="O3" i="2"/>
  <c r="M5" i="2"/>
  <c r="I4" i="2"/>
  <c r="M4" i="2"/>
  <c r="O6" i="2"/>
  <c r="I7" i="2"/>
  <c r="I3" i="2"/>
  <c r="M3" i="2"/>
  <c r="M2" i="2"/>
  <c r="M7" i="5"/>
  <c r="M4" i="5"/>
  <c r="M5" i="5"/>
  <c r="M2" i="5"/>
  <c r="M6" i="5"/>
  <c r="M3" i="5"/>
  <c r="K7" i="3"/>
  <c r="K8" i="3"/>
  <c r="I4" i="5"/>
  <c r="I8" i="5"/>
  <c r="I3" i="5"/>
  <c r="H5" i="3"/>
  <c r="I7" i="5"/>
  <c r="I6" i="5"/>
  <c r="I2" i="5"/>
  <c r="I9" i="5"/>
  <c r="K4" i="3"/>
  <c r="B7" i="5"/>
  <c r="F7" i="5" s="1"/>
  <c r="B6" i="5"/>
  <c r="F6" i="5" s="1"/>
  <c r="B3" i="5"/>
  <c r="F3" i="5" s="1"/>
  <c r="B2" i="5"/>
  <c r="G2" i="5" s="1"/>
  <c r="P2" i="1"/>
  <c r="Q2" i="1"/>
  <c r="AL6" i="4"/>
  <c r="AL7" i="4"/>
  <c r="B9" i="5"/>
  <c r="B5" i="5"/>
  <c r="B8" i="5"/>
  <c r="B4" i="5"/>
  <c r="T2" i="1"/>
  <c r="S2" i="1"/>
  <c r="AK3" i="4"/>
  <c r="AK7" i="4"/>
  <c r="AK5" i="4"/>
  <c r="AK2" i="4"/>
  <c r="AK6" i="4"/>
  <c r="AK4" i="4"/>
  <c r="AL3" i="4"/>
  <c r="AL4" i="4"/>
  <c r="AL2" i="4"/>
  <c r="AL5" i="4"/>
  <c r="K6" i="3"/>
  <c r="N4" i="2" l="1"/>
  <c r="N5" i="2"/>
  <c r="O2" i="2"/>
  <c r="N7" i="2"/>
  <c r="N6" i="2"/>
  <c r="N3" i="2"/>
  <c r="N7" i="5"/>
  <c r="N6" i="5"/>
  <c r="N5" i="5"/>
  <c r="N4" i="5"/>
  <c r="N3" i="5"/>
  <c r="N2" i="5"/>
  <c r="E6" i="5"/>
  <c r="G6" i="5"/>
  <c r="D6" i="5" s="1"/>
  <c r="G7" i="5"/>
  <c r="D7" i="5" s="1"/>
  <c r="K5" i="3"/>
  <c r="E3" i="5"/>
  <c r="G3" i="5"/>
  <c r="D3" i="5" s="1"/>
  <c r="F2" i="5"/>
  <c r="D2" i="5" s="1"/>
  <c r="E7" i="5"/>
  <c r="F9" i="5"/>
  <c r="E9" i="5" s="1"/>
  <c r="G9" i="5"/>
  <c r="F8" i="5"/>
  <c r="E8" i="5" s="1"/>
  <c r="G8" i="5"/>
  <c r="G5" i="5"/>
  <c r="F5" i="5"/>
  <c r="E5" i="5" s="1"/>
  <c r="G4" i="5"/>
  <c r="F4" i="5"/>
  <c r="E4" i="5" s="1"/>
  <c r="E2" i="5" l="1"/>
  <c r="D9" i="5"/>
  <c r="D8" i="5"/>
  <c r="D4" i="5"/>
  <c r="D5" i="5"/>
  <c r="F5" i="1"/>
  <c r="F8" i="1"/>
  <c r="F7" i="1"/>
  <c r="F4" i="1"/>
  <c r="F6" i="1"/>
  <c r="F9" i="1"/>
  <c r="F3" i="1"/>
</calcChain>
</file>

<file path=xl/sharedStrings.xml><?xml version="1.0" encoding="utf-8"?>
<sst xmlns="http://schemas.openxmlformats.org/spreadsheetml/2006/main" count="393" uniqueCount="189">
  <si>
    <t>Apellido</t>
  </si>
  <si>
    <t>Nombre</t>
  </si>
  <si>
    <t>Codigo</t>
  </si>
  <si>
    <t>Nacimiento</t>
  </si>
  <si>
    <t>Edad</t>
  </si>
  <si>
    <t>CUIL</t>
  </si>
  <si>
    <t>Telefono</t>
  </si>
  <si>
    <t>Racedo</t>
  </si>
  <si>
    <t>Cristian</t>
  </si>
  <si>
    <t>20-35336336-5</t>
  </si>
  <si>
    <t>11-0303-456</t>
  </si>
  <si>
    <t>Abel</t>
  </si>
  <si>
    <t>20-38883443-5</t>
  </si>
  <si>
    <t>11-8943-293</t>
  </si>
  <si>
    <t>Maldonado</t>
  </si>
  <si>
    <t>Alejandra</t>
  </si>
  <si>
    <t>27-91028301-3</t>
  </si>
  <si>
    <t>11-2384-839</t>
  </si>
  <si>
    <t>Juarez</t>
  </si>
  <si>
    <t>Alberto</t>
  </si>
  <si>
    <t>20-18273913-5</t>
  </si>
  <si>
    <t>11-9182-2839</t>
  </si>
  <si>
    <t>Martinez</t>
  </si>
  <si>
    <t>Mariana</t>
  </si>
  <si>
    <t>27-19023885-2</t>
  </si>
  <si>
    <t>11-2934-8012</t>
  </si>
  <si>
    <t>Gomez</t>
  </si>
  <si>
    <t>Graciela</t>
  </si>
  <si>
    <t>27-40279384-2</t>
  </si>
  <si>
    <t>11-849-2234</t>
  </si>
  <si>
    <t>Garcia</t>
  </si>
  <si>
    <t>Demetrio</t>
  </si>
  <si>
    <t>20-84973329-3</t>
  </si>
  <si>
    <t>11-892-23904</t>
  </si>
  <si>
    <t>Cabello</t>
  </si>
  <si>
    <t>Camila</t>
  </si>
  <si>
    <t>20-37891223-2</t>
  </si>
  <si>
    <t>11-1823-0192</t>
  </si>
  <si>
    <t>Descripcion</t>
  </si>
  <si>
    <t>Precio</t>
  </si>
  <si>
    <t>Stock</t>
  </si>
  <si>
    <t>Categoria</t>
  </si>
  <si>
    <t>Electro</t>
  </si>
  <si>
    <t>Hogar</t>
  </si>
  <si>
    <t>Tecnologia</t>
  </si>
  <si>
    <t>Empleado</t>
  </si>
  <si>
    <t>Producto</t>
  </si>
  <si>
    <t>Cantidad</t>
  </si>
  <si>
    <t>Total</t>
  </si>
  <si>
    <t>Factura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</si>
  <si>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</si>
  <si>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</si>
  <si>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</si>
  <si>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</si>
  <si>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</si>
  <si>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</si>
  <si>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</si>
  <si>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</si>
  <si>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</si>
  <si>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</si>
  <si>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</si>
  <si>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</si>
  <si>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</si>
  <si>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</si>
  <si>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final</t>
  </si>
  <si>
    <t>iva</t>
  </si>
  <si>
    <t>a-015</t>
  </si>
  <si>
    <t>Estadisticas</t>
  </si>
  <si>
    <t>valor</t>
  </si>
  <si>
    <t>Empleados</t>
  </si>
  <si>
    <t>p</t>
  </si>
  <si>
    <t>A</t>
  </si>
  <si>
    <t>P</t>
  </si>
  <si>
    <t>total</t>
  </si>
  <si>
    <t>a</t>
  </si>
  <si>
    <t>minimo</t>
  </si>
  <si>
    <t>maximo</t>
  </si>
  <si>
    <t>promedio</t>
  </si>
  <si>
    <t>mediana</t>
  </si>
  <si>
    <t>moda</t>
  </si>
  <si>
    <t>HOY</t>
  </si>
  <si>
    <t>AHORA</t>
  </si>
  <si>
    <t>AÑO</t>
  </si>
  <si>
    <t>MES</t>
  </si>
  <si>
    <t>DIA</t>
  </si>
  <si>
    <t>Hora</t>
  </si>
  <si>
    <t>Min</t>
  </si>
  <si>
    <t>Seg</t>
  </si>
  <si>
    <t>G</t>
  </si>
  <si>
    <t>DU</t>
  </si>
  <si>
    <t>V</t>
  </si>
  <si>
    <t>Separador</t>
  </si>
  <si>
    <t>,</t>
  </si>
  <si>
    <t>posicion</t>
  </si>
  <si>
    <t>largo</t>
  </si>
  <si>
    <t>121%</t>
  </si>
  <si>
    <t>01/11/22</t>
  </si>
  <si>
    <t>02/11/22</t>
  </si>
  <si>
    <t>03/11/22</t>
  </si>
  <si>
    <t>04/11/22</t>
  </si>
  <si>
    <t>05/11/22</t>
  </si>
  <si>
    <t>06/11/22</t>
  </si>
  <si>
    <t>07/11/22</t>
  </si>
  <si>
    <t>08/11/22</t>
  </si>
  <si>
    <t>09/11/22</t>
  </si>
  <si>
    <t>10/11/22</t>
  </si>
  <si>
    <t>11/11/22</t>
  </si>
  <si>
    <t>12/11/22</t>
  </si>
  <si>
    <t>13/11/22</t>
  </si>
  <si>
    <t>14/11/22</t>
  </si>
  <si>
    <t>15/11/22</t>
  </si>
  <si>
    <t>16/11/22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</si>
  <si>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</si>
  <si>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</si>
  <si>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</si>
  <si>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</si>
  <si>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</si>
  <si>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</si>
  <si>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</si>
  <si>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</si>
  <si>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</si>
  <si>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26/11/22</t>
  </si>
  <si>
    <t>27/11/22</t>
  </si>
  <si>
    <t>28/11/22</t>
  </si>
  <si>
    <t>29/11/22</t>
  </si>
  <si>
    <t>30/11/22</t>
  </si>
  <si>
    <t>Internos</t>
  </si>
  <si>
    <t>Externos</t>
  </si>
  <si>
    <t>Asistencia</t>
  </si>
  <si>
    <t>Productos</t>
  </si>
  <si>
    <t>Ventas</t>
  </si>
  <si>
    <t>Nuevo</t>
  </si>
  <si>
    <t>Correo</t>
  </si>
  <si>
    <t>Atajos</t>
  </si>
  <si>
    <t>Alumni</t>
  </si>
  <si>
    <t>GitHub</t>
  </si>
  <si>
    <t>atrás</t>
  </si>
  <si>
    <t>Datos</t>
  </si>
  <si>
    <t>Intro</t>
  </si>
  <si>
    <t>Marca</t>
  </si>
  <si>
    <t>Atma</t>
  </si>
  <si>
    <t>Drean</t>
  </si>
  <si>
    <t>Samsung</t>
  </si>
  <si>
    <t>HP</t>
  </si>
  <si>
    <t>Top House</t>
  </si>
  <si>
    <t>Mesa de melamina 180x120</t>
  </si>
  <si>
    <t>Impresora SmartTank 510 series</t>
  </si>
  <si>
    <t>Televisor 49'' Smart TV</t>
  </si>
  <si>
    <t>Secarropas 5L Carga Superior</t>
  </si>
  <si>
    <t>Microondas 15L</t>
  </si>
  <si>
    <t>Sillas de madera 100x60</t>
  </si>
  <si>
    <t>Notebook Elitebook 8500 series</t>
  </si>
  <si>
    <t>Lavarropas Carga Frontal 8Kg</t>
  </si>
  <si>
    <t>Dell</t>
  </si>
  <si>
    <t>Notebook Thinkpad 3800 series</t>
  </si>
  <si>
    <t>Dove</t>
  </si>
  <si>
    <t>Sedal</t>
  </si>
  <si>
    <t>Acondicionador 500ml anticaspa</t>
  </si>
  <si>
    <t>Shampoo 1L cabellos fragiles</t>
  </si>
  <si>
    <t>Televisor 32'' AMOLED</t>
  </si>
  <si>
    <t>LG</t>
  </si>
  <si>
    <t>Jabon humentacte x 3</t>
  </si>
  <si>
    <t>Estetica</t>
  </si>
  <si>
    <t>Liliana</t>
  </si>
  <si>
    <t>Secador de Pelo 3800rpm</t>
  </si>
  <si>
    <t>Aire Acondicionado 3800 frigorias</t>
  </si>
  <si>
    <t>Promedio</t>
  </si>
  <si>
    <t>Mediana</t>
  </si>
  <si>
    <t>Suma</t>
  </si>
  <si>
    <t>Minimo</t>
  </si>
  <si>
    <t>Maximo</t>
  </si>
  <si>
    <t>Contar</t>
  </si>
  <si>
    <t>Vendidos</t>
  </si>
  <si>
    <t>Recaudado</t>
  </si>
  <si>
    <t>ventas</t>
  </si>
  <si>
    <t>a-016</t>
  </si>
  <si>
    <t>recaudado</t>
  </si>
  <si>
    <t>vendidos</t>
  </si>
  <si>
    <t>a-0017</t>
  </si>
  <si>
    <t>a-0018</t>
  </si>
  <si>
    <t>a-0019</t>
  </si>
  <si>
    <t>a-0020</t>
  </si>
  <si>
    <t>b-001</t>
  </si>
  <si>
    <t>b-002</t>
  </si>
  <si>
    <t>b-003</t>
  </si>
  <si>
    <t>b-004</t>
  </si>
  <si>
    <t>Etiquetas de fila</t>
  </si>
  <si>
    <t>Total general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</si>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</sst>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dd/mm/yy;@"/>
    <numFmt numFmtId="165" formatCode="_-* #,##0_-;\-* #,##0_-;_-* &quot;-&quot;??_-;_-@_-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1" applyFont="1" applyAlignment="1">
      <alignment horizontal="left"/>
    </xf>
    <xf numFmtId="0" fontId="0" fillId="3" borderId="1" xfId="0" applyFont="1" applyFill="1" applyBorder="1"/>
    <xf numFmtId="0" fontId="0" fillId="3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44" fontId="0" fillId="3" borderId="6" xfId="1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44" fontId="0" fillId="0" borderId="6" xfId="1" applyNumberFormat="1" applyFont="1" applyBorder="1"/>
    <xf numFmtId="0" fontId="3" fillId="4" borderId="0" xfId="0" applyFont="1" applyFill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5" fontId="0" fillId="0" borderId="0" xfId="2" applyNumberFormat="1" applyFont="1"/>
    <xf numFmtId="0" fontId="0" fillId="0" borderId="0" xfId="0" applyAlignment="1">
      <alignment horizontal="center"/>
    </xf>
    <xf numFmtId="43" fontId="0" fillId="0" borderId="0" xfId="2" applyFont="1" applyAlignment="1">
      <alignment horizontal="center"/>
    </xf>
    <xf numFmtId="9" fontId="2" fillId="2" borderId="6" xfId="0" applyNumberFormat="1" applyFont="1" applyFill="1" applyBorder="1"/>
    <xf numFmtId="9" fontId="0" fillId="3" borderId="6" xfId="0" applyNumberFormat="1" applyFont="1" applyFill="1" applyBorder="1"/>
    <xf numFmtId="0" fontId="0" fillId="0" borderId="6" xfId="0" applyFont="1" applyBorder="1"/>
    <xf numFmtId="0" fontId="2" fillId="0" borderId="0" xfId="0" applyFont="1" applyFill="1" applyBorder="1"/>
    <xf numFmtId="44" fontId="0" fillId="0" borderId="5" xfId="0" applyNumberFormat="1" applyFont="1" applyFill="1" applyBorder="1"/>
    <xf numFmtId="0" fontId="0" fillId="0" borderId="0" xfId="0" applyFill="1"/>
    <xf numFmtId="0" fontId="0" fillId="3" borderId="6" xfId="0" applyFont="1" applyFill="1" applyBorder="1"/>
    <xf numFmtId="164" fontId="2" fillId="2" borderId="5" xfId="0" applyNumberFormat="1" applyFont="1" applyFill="1" applyBorder="1" applyAlignment="1">
      <alignment textRotation="90"/>
    </xf>
    <xf numFmtId="164" fontId="2" fillId="4" borderId="5" xfId="0" applyNumberFormat="1" applyFont="1" applyFill="1" applyBorder="1" applyAlignment="1">
      <alignment textRotation="90"/>
    </xf>
    <xf numFmtId="14" fontId="0" fillId="3" borderId="5" xfId="0" applyNumberFormat="1" applyFont="1" applyFill="1" applyBorder="1"/>
    <xf numFmtId="0" fontId="3" fillId="4" borderId="5" xfId="0" applyFont="1" applyFill="1" applyBorder="1"/>
    <xf numFmtId="14" fontId="0" fillId="0" borderId="5" xfId="0" applyNumberFormat="1" applyFont="1" applyBorder="1"/>
    <xf numFmtId="14" fontId="0" fillId="0" borderId="2" xfId="0" applyNumberFormat="1" applyFont="1" applyBorder="1"/>
    <xf numFmtId="0" fontId="3" fillId="4" borderId="2" xfId="0" applyFont="1" applyFill="1" applyBorder="1"/>
    <xf numFmtId="0" fontId="2" fillId="2" borderId="4" xfId="0" applyFont="1" applyFill="1" applyBorder="1" applyAlignment="1">
      <alignment horizontal="left"/>
    </xf>
    <xf numFmtId="164" fontId="0" fillId="3" borderId="1" xfId="0" applyNumberFormat="1" applyFont="1" applyFill="1" applyBorder="1"/>
    <xf numFmtId="20" fontId="0" fillId="3" borderId="2" xfId="0" applyNumberFormat="1" applyFont="1" applyFill="1" applyBorder="1"/>
    <xf numFmtId="0" fontId="5" fillId="0" borderId="0" xfId="5"/>
    <xf numFmtId="0" fontId="3" fillId="5" borderId="0" xfId="3"/>
    <xf numFmtId="0" fontId="3" fillId="5" borderId="0" xfId="3" applyAlignment="1">
      <alignment horizontal="center" vertical="top"/>
    </xf>
    <xf numFmtId="0" fontId="3" fillId="5" borderId="0" xfId="3" applyAlignment="1">
      <alignment horizontal="left" vertical="top" textRotation="90"/>
    </xf>
    <xf numFmtId="0" fontId="3" fillId="6" borderId="0" xfId="4" applyAlignment="1">
      <alignment horizontal="center"/>
    </xf>
    <xf numFmtId="0" fontId="3" fillId="0" borderId="0" xfId="3" applyFill="1" applyAlignment="1">
      <alignment horizontal="center" vertical="top"/>
    </xf>
    <xf numFmtId="44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7" xfId="0" applyFont="1" applyFill="1" applyBorder="1"/>
    <xf numFmtId="44" fontId="0" fillId="3" borderId="6" xfId="1" applyFont="1" applyFill="1" applyBorder="1"/>
    <xf numFmtId="44" fontId="0" fillId="0" borderId="6" xfId="0" applyNumberFormat="1" applyFont="1" applyBorder="1"/>
    <xf numFmtId="166" fontId="0" fillId="3" borderId="5" xfId="0" applyNumberFormat="1" applyFont="1" applyFill="1" applyBorder="1"/>
    <xf numFmtId="44" fontId="0" fillId="0" borderId="3" xfId="1" applyNumberFormat="1" applyFont="1" applyBorder="1"/>
    <xf numFmtId="165" fontId="0" fillId="3" borderId="5" xfId="2" applyNumberFormat="1" applyFont="1" applyFill="1" applyBorder="1"/>
    <xf numFmtId="165" fontId="0" fillId="0" borderId="5" xfId="2" applyNumberFormat="1" applyFont="1" applyBorder="1"/>
    <xf numFmtId="165" fontId="0" fillId="0" borderId="2" xfId="2" applyNumberFormat="1" applyFont="1" applyBorder="1"/>
    <xf numFmtId="44" fontId="2" fillId="2" borderId="6" xfId="1" applyFont="1" applyFill="1" applyBorder="1"/>
    <xf numFmtId="44" fontId="0" fillId="3" borderId="5" xfId="1" applyFont="1" applyFill="1" applyBorder="1"/>
    <xf numFmtId="44" fontId="0" fillId="0" borderId="5" xfId="1" applyFont="1" applyBorder="1"/>
    <xf numFmtId="165" fontId="2" fillId="2" borderId="0" xfId="2" applyNumberFormat="1" applyFont="1" applyFill="1" applyBorder="1"/>
    <xf numFmtId="165" fontId="0" fillId="3" borderId="6" xfId="2" applyNumberFormat="1" applyFont="1" applyFill="1" applyBorder="1"/>
    <xf numFmtId="165" fontId="0" fillId="0" borderId="6" xfId="2" applyNumberFormat="1" applyFont="1" applyBorder="1"/>
    <xf numFmtId="0" fontId="6" fillId="3" borderId="4" xfId="0" applyFont="1" applyFill="1" applyBorder="1"/>
    <xf numFmtId="165" fontId="6" fillId="3" borderId="5" xfId="2" applyNumberFormat="1" applyFont="1" applyFill="1" applyBorder="1"/>
    <xf numFmtId="165" fontId="6" fillId="3" borderId="6" xfId="2" applyNumberFormat="1" applyFont="1" applyFill="1" applyBorder="1"/>
    <xf numFmtId="0" fontId="0" fillId="0" borderId="5" xfId="0" applyFont="1" applyFill="1" applyBorder="1"/>
    <xf numFmtId="44" fontId="0" fillId="0" borderId="5" xfId="1" applyNumberFormat="1" applyFont="1" applyFill="1" applyBorder="1"/>
    <xf numFmtId="43" fontId="0" fillId="3" borderId="5" xfId="2" applyNumberFormat="1" applyFont="1" applyFill="1" applyBorder="1"/>
    <xf numFmtId="43" fontId="0" fillId="0" borderId="2" xfId="2" applyNumberFormat="1" applyFont="1" applyBorder="1"/>
    <xf numFmtId="44" fontId="0" fillId="0" borderId="2" xfId="1" applyFont="1" applyBorder="1"/>
    <xf numFmtId="0" fontId="3" fillId="5" borderId="0" xfId="3" applyAlignment="1">
      <alignment horizontal="center" vertical="center" textRotation="90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6">
    <cellStyle name="Énfasis1" xfId="3" builtinId="29"/>
    <cellStyle name="Énfasis5" xfId="4" builtinId="45"/>
    <cellStyle name="Hipervínculo" xfId="5" builtinId="8"/>
    <cellStyle name="Millares" xfId="2" builtinId="3"/>
    <cellStyle name="Moneda" xfId="1" builtinId="4"/>
    <cellStyle name="Normal" xfId="0" builtinId="0"/>
  </cellStyles>
  <dxfs count="171"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7" formatCode="_-* #,##0.0_-;\-* #,##0.0_-;_-* &quot;-&quot;??_-;_-@_-"/>
    </dxf>
    <dxf>
      <numFmt numFmtId="167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7" formatCode="_-* #,##0.0_-;\-* #,##0.0_-;_-* &quot;-&quot;??_-;_-@_-"/>
    </dxf>
    <dxf>
      <numFmt numFmtId="167" formatCode="_-* #,##0.0_-;\-* #,##0.0_-;_-* &quot;-&quot;??_-;_-@_-"/>
    </dxf>
    <dxf>
      <numFmt numFmtId="165" formatCode="_-* #,##0_-;\-* #,##0_-;_-* &quot;-&quot;??_-;_-@_-"/>
    </dxf>
    <dxf>
      <numFmt numFmtId="167" formatCode="_-* #,##0.0_-;\-* #,##0.0_-;_-* &quot;-&quot;??_-;_-@_-"/>
    </dxf>
    <dxf>
      <numFmt numFmtId="167" formatCode="_-* #,##0.0_-;\-* #,##0.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4" formatCode="_-&quot;$&quot;\ * #,##0.00_-;\-&quot;$&quot;\ * #,##0.00_-;_-&quot;$&quot;\ 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7" formatCode="_-* #,##0.0_-;\-* #,##0.0_-;_-* &quot;-&quot;??_-;_-@_-"/>
    </dxf>
    <dxf>
      <numFmt numFmtId="167" formatCode="_-* #,##0.0_-;\-* #,##0.0_-;_-* &quot;-&quot;??_-;_-@_-"/>
    </dxf>
    <dxf>
      <numFmt numFmtId="167" formatCode="_-* #,##0.0_-;\-* #,##0.0_-;_-* &quot;-&quot;??_-;_-@_-"/>
    </dxf>
    <dxf>
      <numFmt numFmtId="165" formatCode="_-* #,##0_-;\-* #,##0_-;_-* &quot;-&quot;??_-;_-@_-"/>
    </dxf>
    <dxf>
      <numFmt numFmtId="167" formatCode="_-* #,##0.0_-;\-* #,##0.0_-;_-* &quot;-&quot;??_-;_-@_-"/>
    </dxf>
    <dxf>
      <numFmt numFmtId="167" formatCode="_-* #,##0.0_-;\-* #,##0.0_-;_-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165" formatCode="_-* #,##0_-;\-* #,##0_-;_-* &quot;-&quot;??_-;_-@_-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-&quot;$&quot;\ * #,##0.00_-;\-&quot;$&quot;\ * #,##0.00_-;_-&quot;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* #,##0_-;\-* #,##0_-;_-* &quot;-&quot;??_-;_-@_-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productos!$G$1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productos!$C$2:$C$16</c:f>
              <c:strCache>
                <c:ptCount val="15"/>
                <c:pt idx="0">
                  <c:v>Microondas 15L</c:v>
                </c:pt>
                <c:pt idx="1">
                  <c:v>Secarropas 5L Carga Superior</c:v>
                </c:pt>
                <c:pt idx="2">
                  <c:v>Televisor 49'' Smart TV</c:v>
                </c:pt>
                <c:pt idx="3">
                  <c:v>Impresora SmartTank 510 series</c:v>
                </c:pt>
                <c:pt idx="4">
                  <c:v>Mesa de melamina 180x120</c:v>
                </c:pt>
                <c:pt idx="5">
                  <c:v>Sillas de madera 100x60</c:v>
                </c:pt>
                <c:pt idx="6">
                  <c:v>Aire Acondicionado 3800 frigorias</c:v>
                </c:pt>
                <c:pt idx="7">
                  <c:v>Notebook Elitebook 8500 series</c:v>
                </c:pt>
                <c:pt idx="8">
                  <c:v>Lavarropas Carga Frontal 8Kg</c:v>
                </c:pt>
                <c:pt idx="9">
                  <c:v>Notebook Thinkpad 3800 series</c:v>
                </c:pt>
                <c:pt idx="10">
                  <c:v>Acondicionador 500ml anticaspa</c:v>
                </c:pt>
                <c:pt idx="11">
                  <c:v>Shampoo 1L cabellos fragiles</c:v>
                </c:pt>
                <c:pt idx="12">
                  <c:v>Televisor 32'' AMOLED</c:v>
                </c:pt>
                <c:pt idx="13">
                  <c:v>Jabon humentacte x 3</c:v>
                </c:pt>
                <c:pt idx="14">
                  <c:v>Secador de Pelo 3800rpm</c:v>
                </c:pt>
              </c:strCache>
            </c:strRef>
          </c:cat>
          <c:val>
            <c:numRef>
              <c:f>productos!$G$2:$G$16</c:f>
              <c:numCache>
                <c:formatCode>0</c:formatCode>
                <c:ptCount val="15"/>
                <c:pt idx="0">
                  <c:v>3000</c:v>
                </c:pt>
                <c:pt idx="1">
                  <c:v>5399</c:v>
                </c:pt>
                <c:pt idx="2">
                  <c:v>2380</c:v>
                </c:pt>
                <c:pt idx="3">
                  <c:v>4500</c:v>
                </c:pt>
                <c:pt idx="4">
                  <c:v>13599</c:v>
                </c:pt>
                <c:pt idx="5">
                  <c:v>18390</c:v>
                </c:pt>
                <c:pt idx="6">
                  <c:v>2890</c:v>
                </c:pt>
                <c:pt idx="7">
                  <c:v>5000</c:v>
                </c:pt>
                <c:pt idx="8">
                  <c:v>8500</c:v>
                </c:pt>
                <c:pt idx="9">
                  <c:v>3190</c:v>
                </c:pt>
                <c:pt idx="10">
                  <c:v>9850</c:v>
                </c:pt>
                <c:pt idx="11">
                  <c:v>4900</c:v>
                </c:pt>
                <c:pt idx="12">
                  <c:v>2890</c:v>
                </c:pt>
                <c:pt idx="13">
                  <c:v>9540</c:v>
                </c:pt>
                <c:pt idx="14">
                  <c:v>5490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87-4747-BFB3-1AB8AA3F5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9900031"/>
        <c:axId val="729902527"/>
        <c:axId val="0"/>
      </c:bar3DChart>
      <c:catAx>
        <c:axId val="729900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29902527"/>
        <c:crosses val="autoZero"/>
        <c:auto val="1"/>
        <c:lblAlgn val="ctr"/>
        <c:lblOffset val="100"/>
        <c:noMultiLvlLbl val="0"/>
      </c:catAx>
      <c:valAx>
        <c:axId val="72990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2990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Estadisticas de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ventas!$J$2</c:f>
              <c:strCache>
                <c:ptCount val="1"/>
                <c:pt idx="0">
                  <c:v>Estadisticas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ventas!$J$4:$J$8</c15:sqref>
                  </c15:fullRef>
                </c:ext>
              </c:extLst>
              <c:f>ventas!$J$5:$J$8</c:f>
              <c:strCache>
                <c:ptCount val="4"/>
                <c:pt idx="0">
                  <c:v>Promedio</c:v>
                </c:pt>
                <c:pt idx="1">
                  <c:v>Mediana</c:v>
                </c:pt>
                <c:pt idx="2">
                  <c:v>Minimo</c:v>
                </c:pt>
                <c:pt idx="3">
                  <c:v>Maximo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ventas!$K$4:$K$8</c15:sqref>
                  </c15:fullRef>
                </c:ext>
              </c:extLst>
              <c:f>ventas!$K$5:$K$8</c:f>
              <c:numCache>
                <c:formatCode>_("$"* #,##0.00_);_("$"* \(#,##0.00\);_("$"* "-"??_);_(@_)</c:formatCode>
                <c:ptCount val="4"/>
                <c:pt idx="0">
                  <c:v>223352.91416666665</c:v>
                </c:pt>
                <c:pt idx="1">
                  <c:v>112000</c:v>
                </c:pt>
                <c:pt idx="2">
                  <c:v>0</c:v>
                </c:pt>
                <c:pt idx="3">
                  <c:v>947500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7-442F-8E24-32854E50B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8466399"/>
        <c:axId val="858468479"/>
        <c:axId val="0"/>
      </c:bar3DChart>
      <c:catAx>
        <c:axId val="85846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8468479"/>
        <c:crosses val="autoZero"/>
        <c:auto val="1"/>
        <c:lblAlgn val="ctr"/>
        <c:lblOffset val="100"/>
        <c:noMultiLvlLbl val="0"/>
      </c:catAx>
      <c:valAx>
        <c:axId val="85846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846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22870654550222319"/>
          <c:y val="0.18523349529433697"/>
          <c:w val="0.57686091074838552"/>
          <c:h val="0.69906949642373983"/>
        </c:manualLayout>
      </c:layout>
      <c:pieChart>
        <c:varyColors val="1"/>
        <c:ser>
          <c:idx val="0"/>
          <c:order val="0"/>
          <c:tx>
            <c:strRef>
              <c:f>Datos!$H$1</c:f>
              <c:strCache>
                <c:ptCount val="1"/>
                <c:pt idx="0">
                  <c:v>Ventas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39-4F4D-BEB3-13EE273233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39-4F4D-BEB3-13EE273233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39-4F4D-BEB3-13EE273233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139-4F4D-BEB3-13EE273233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139-4F4D-BEB3-13EE273233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139-4F4D-BEB3-13EE2732335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139-4F4D-BEB3-13EE2732335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139-4F4D-BEB3-13EE2732335A}"/>
              </c:ext>
            </c:extLst>
          </c:dPt>
          <c:dLbls>
            <c:dLbl>
              <c:idx val="0"/>
              <c:layout>
                <c:manualLayout>
                  <c:x val="-2.8470585642386775E-2"/>
                  <c:y val="-0.10729871067122061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64882"/>
                        <a:gd name="adj2" fmla="val 160841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D139-4F4D-BEB3-13EE2732335A}"/>
                </c:ext>
              </c:extLst>
            </c:dLbl>
            <c:dLbl>
              <c:idx val="1"/>
              <c:layout>
                <c:manualLayout>
                  <c:x val="7.5441485800465488E-2"/>
                  <c:y val="-0.1107599594025503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42671"/>
                        <a:gd name="adj2" fmla="val -44833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D139-4F4D-BEB3-13EE2732335A}"/>
                </c:ext>
              </c:extLst>
            </c:dLbl>
            <c:dLbl>
              <c:idx val="2"/>
              <c:layout>
                <c:manualLayout>
                  <c:x val="0.24563034589529473"/>
                  <c:y val="-1.7306243656648488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69304"/>
                        <a:gd name="adj2" fmla="val -94402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D139-4F4D-BEB3-13EE2732335A}"/>
                </c:ext>
              </c:extLst>
            </c:dLbl>
            <c:dLbl>
              <c:idx val="3"/>
              <c:layout>
                <c:manualLayout>
                  <c:x val="-2.5705501314623867E-2"/>
                  <c:y val="2.7689989850637579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70295"/>
                        <a:gd name="adj2" fmla="val -11718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D139-4F4D-BEB3-13EE2732335A}"/>
                </c:ext>
              </c:extLst>
            </c:dLbl>
            <c:dLbl>
              <c:idx val="4"/>
              <c:layout>
                <c:manualLayout>
                  <c:x val="-0.12567133976038336"/>
                  <c:y val="-1.0383746193989218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74835"/>
                        <a:gd name="adj2" fmla="val -71057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D139-4F4D-BEB3-13EE2732335A}"/>
                </c:ext>
              </c:extLst>
            </c:dLbl>
            <c:dLbl>
              <c:idx val="5"/>
              <c:layout>
                <c:manualLayout>
                  <c:x val="8.5685004382079558E-3"/>
                  <c:y val="1.730624365664836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18144"/>
                        <a:gd name="adj2" fmla="val -27751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D139-4F4D-BEB3-13EE2732335A}"/>
                </c:ext>
              </c:extLst>
            </c:dLbl>
            <c:dLbl>
              <c:idx val="6"/>
              <c:layout>
                <c:manualLayout>
                  <c:x val="-2.1610387811229412E-2"/>
                  <c:y val="-8.6531218283242464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90196"/>
                        <a:gd name="adj2" fmla="val 16875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D139-4F4D-BEB3-13EE2732335A}"/>
                </c:ext>
              </c:extLst>
            </c:dLbl>
            <c:dLbl>
              <c:idx val="7"/>
              <c:layout>
                <c:manualLayout>
                  <c:x val="-2.8561668127359851E-3"/>
                  <c:y val="-5.8841228432604864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77402"/>
                        <a:gd name="adj2" fmla="val 22427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F-D139-4F4D-BEB3-13EE2732335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Datos!$B$2:$B$9</c:f>
              <c:strCache>
                <c:ptCount val="8"/>
                <c:pt idx="0">
                  <c:v>Racedo, Cristian</c:v>
                </c:pt>
                <c:pt idx="1">
                  <c:v>Racedo, Abel</c:v>
                </c:pt>
                <c:pt idx="2">
                  <c:v>Maldonado, Alejandra</c:v>
                </c:pt>
                <c:pt idx="3">
                  <c:v>Juarez, Alberto</c:v>
                </c:pt>
                <c:pt idx="4">
                  <c:v>Martinez, Mariana</c:v>
                </c:pt>
                <c:pt idx="5">
                  <c:v>Gomez, Graciela</c:v>
                </c:pt>
                <c:pt idx="6">
                  <c:v>Garcia, Demetrio</c:v>
                </c:pt>
                <c:pt idx="7">
                  <c:v>Cabello, Camila</c:v>
                </c:pt>
              </c:strCache>
            </c:strRef>
          </c:cat>
          <c:val>
            <c:numRef>
              <c:f>Datos!$H$2:$H$9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39-4F4D-BEB3-13EE27323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4.9693290708329708E-2"/>
          <c:y val="0.15589925611630154"/>
          <c:w val="0.49543837825958958"/>
          <c:h val="0.81246759958114045"/>
        </c:manualLayout>
      </c:layout>
      <c:doughnutChart>
        <c:varyColors val="1"/>
        <c:ser>
          <c:idx val="0"/>
          <c:order val="0"/>
          <c:tx>
            <c:strRef>
              <c:f>Datos!$H$1</c:f>
              <c:strCache>
                <c:ptCount val="1"/>
                <c:pt idx="0">
                  <c:v>Ventas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54E-49EE-A0D3-51AC370B95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54E-49EE-A0D3-51AC370B95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54E-49EE-A0D3-51AC370B95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54E-49EE-A0D3-51AC370B95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54E-49EE-A0D3-51AC370B95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54E-49EE-A0D3-51AC370B95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54E-49EE-A0D3-51AC370B950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54E-49EE-A0D3-51AC370B950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Datos!$B$2:$B$9</c:f>
              <c:strCache>
                <c:ptCount val="8"/>
                <c:pt idx="0">
                  <c:v>Racedo, Cristian</c:v>
                </c:pt>
                <c:pt idx="1">
                  <c:v>Racedo, Abel</c:v>
                </c:pt>
                <c:pt idx="2">
                  <c:v>Maldonado, Alejandra</c:v>
                </c:pt>
                <c:pt idx="3">
                  <c:v>Juarez, Alberto</c:v>
                </c:pt>
                <c:pt idx="4">
                  <c:v>Martinez, Mariana</c:v>
                </c:pt>
                <c:pt idx="5">
                  <c:v>Gomez, Graciela</c:v>
                </c:pt>
                <c:pt idx="6">
                  <c:v>Garcia, Demetrio</c:v>
                </c:pt>
                <c:pt idx="7">
                  <c:v>Cabello, Camila</c:v>
                </c:pt>
              </c:strCache>
            </c:strRef>
          </c:cat>
          <c:val>
            <c:numRef>
              <c:f>Datos!$H$2:$H$9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54E-49EE-A0D3-51AC370B9507}"/>
            </c:ext>
          </c:extLst>
        </c:ser>
        <c:ser>
          <c:idx val="1"/>
          <c:order val="1"/>
          <c:tx>
            <c:strRef>
              <c:f>Datos!$I$1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54E-49EE-A0D3-51AC370B95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554E-49EE-A0D3-51AC370B95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554E-49EE-A0D3-51AC370B95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554E-49EE-A0D3-51AC370B95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554E-49EE-A0D3-51AC370B95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554E-49EE-A0D3-51AC370B95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554E-49EE-A0D3-51AC370B950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554E-49EE-A0D3-51AC370B950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Datos!$B$2:$B$9</c:f>
              <c:strCache>
                <c:ptCount val="8"/>
                <c:pt idx="0">
                  <c:v>Racedo, Cristian</c:v>
                </c:pt>
                <c:pt idx="1">
                  <c:v>Racedo, Abel</c:v>
                </c:pt>
                <c:pt idx="2">
                  <c:v>Maldonado, Alejandra</c:v>
                </c:pt>
                <c:pt idx="3">
                  <c:v>Juarez, Alberto</c:v>
                </c:pt>
                <c:pt idx="4">
                  <c:v>Martinez, Mariana</c:v>
                </c:pt>
                <c:pt idx="5">
                  <c:v>Gomez, Graciela</c:v>
                </c:pt>
                <c:pt idx="6">
                  <c:v>Garcia, Demetrio</c:v>
                </c:pt>
                <c:pt idx="7">
                  <c:v>Cabello, Camila</c:v>
                </c:pt>
              </c:strCache>
            </c:strRef>
          </c:cat>
          <c:val>
            <c:numRef>
              <c:f>Datos!$I$2:$I$9</c:f>
              <c:numCache>
                <c:formatCode>_("$"* #,##0.00_);_("$"* \(#,##0.00\);_("$"* "-"??_);_(@_)</c:formatCode>
                <c:ptCount val="8"/>
                <c:pt idx="0">
                  <c:v>1339500</c:v>
                </c:pt>
                <c:pt idx="1">
                  <c:v>1146749.98</c:v>
                </c:pt>
                <c:pt idx="2">
                  <c:v>168000</c:v>
                </c:pt>
                <c:pt idx="3">
                  <c:v>1582119.96</c:v>
                </c:pt>
                <c:pt idx="4">
                  <c:v>421100</c:v>
                </c:pt>
                <c:pt idx="5">
                  <c:v>344500</c:v>
                </c:pt>
                <c:pt idx="6">
                  <c:v>112000</c:v>
                </c:pt>
                <c:pt idx="7">
                  <c:v>246500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54E-49EE-A0D3-51AC370B950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52690807014056"/>
          <c:y val="0.13380659023839636"/>
          <c:w val="0.35883486128215014"/>
          <c:h val="0.829018807882175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presentismo!$AG$1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presentismo!$B$2:$B$9</c:f>
              <c:strCache>
                <c:ptCount val="8"/>
                <c:pt idx="0">
                  <c:v>Racedo, Cristian</c:v>
                </c:pt>
                <c:pt idx="1">
                  <c:v>Racedo, Abel</c:v>
                </c:pt>
                <c:pt idx="2">
                  <c:v>Maldonado, Alejandra</c:v>
                </c:pt>
                <c:pt idx="3">
                  <c:v>Juarez, Alberto</c:v>
                </c:pt>
                <c:pt idx="4">
                  <c:v>Martinez, Mariana</c:v>
                </c:pt>
                <c:pt idx="5">
                  <c:v>Gomez, Graciela</c:v>
                </c:pt>
                <c:pt idx="6">
                  <c:v>Garcia, Demetrio</c:v>
                </c:pt>
                <c:pt idx="7">
                  <c:v>Cabello, Camila</c:v>
                </c:pt>
              </c:strCache>
            </c:strRef>
          </c:cat>
          <c:val>
            <c:numRef>
              <c:f>presentismo!$AG$2:$AG$9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6-42F4-B57F-1BD1581533B4}"/>
            </c:ext>
          </c:extLst>
        </c:ser>
        <c:ser>
          <c:idx val="1"/>
          <c:order val="1"/>
          <c:tx>
            <c:strRef>
              <c:f>presentismo!$AH$1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presentismo!$B$2:$B$9</c:f>
              <c:strCache>
                <c:ptCount val="8"/>
                <c:pt idx="0">
                  <c:v>Racedo, Cristian</c:v>
                </c:pt>
                <c:pt idx="1">
                  <c:v>Racedo, Abel</c:v>
                </c:pt>
                <c:pt idx="2">
                  <c:v>Maldonado, Alejandra</c:v>
                </c:pt>
                <c:pt idx="3">
                  <c:v>Juarez, Alberto</c:v>
                </c:pt>
                <c:pt idx="4">
                  <c:v>Martinez, Mariana</c:v>
                </c:pt>
                <c:pt idx="5">
                  <c:v>Gomez, Graciela</c:v>
                </c:pt>
                <c:pt idx="6">
                  <c:v>Garcia, Demetrio</c:v>
                </c:pt>
                <c:pt idx="7">
                  <c:v>Cabello, Camila</c:v>
                </c:pt>
              </c:strCache>
            </c:strRef>
          </c:cat>
          <c:val>
            <c:numRef>
              <c:f>presentismo!$AH$2:$AH$9</c:f>
              <c:numCache>
                <c:formatCode>General</c:formatCode>
                <c:ptCount val="8"/>
                <c:pt idx="0">
                  <c:v>20</c:v>
                </c:pt>
                <c:pt idx="1">
                  <c:v>22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C6-42F4-B57F-1BD158153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859789103"/>
        <c:axId val="859787439"/>
      </c:barChart>
      <c:catAx>
        <c:axId val="859789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787439"/>
        <c:crosses val="autoZero"/>
        <c:auto val="1"/>
        <c:lblAlgn val="ctr"/>
        <c:lblOffset val="100"/>
        <c:noMultiLvlLbl val="0"/>
      </c:catAx>
      <c:valAx>
        <c:axId val="85978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7891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Estadisticas</a:t>
            </a:r>
            <a:r>
              <a:rPr lang="es-AR" baseline="0"/>
              <a:t> de Ventas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Datos!$H$1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Datos!$B$2:$B$9</c:f>
              <c:strCache>
                <c:ptCount val="8"/>
                <c:pt idx="0">
                  <c:v>Racedo, Cristian</c:v>
                </c:pt>
                <c:pt idx="1">
                  <c:v>Racedo, Abel</c:v>
                </c:pt>
                <c:pt idx="2">
                  <c:v>Maldonado, Alejandra</c:v>
                </c:pt>
                <c:pt idx="3">
                  <c:v>Juarez, Alberto</c:v>
                </c:pt>
                <c:pt idx="4">
                  <c:v>Martinez, Mariana</c:v>
                </c:pt>
                <c:pt idx="5">
                  <c:v>Gomez, Graciela</c:v>
                </c:pt>
                <c:pt idx="6">
                  <c:v>Garcia, Demetrio</c:v>
                </c:pt>
                <c:pt idx="7">
                  <c:v>Cabello, Camila</c:v>
                </c:pt>
              </c:strCache>
            </c:strRef>
          </c:cat>
          <c:val>
            <c:numRef>
              <c:f>Datos!$H$2:$H$9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4-4A3C-9689-497E33E47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8147935"/>
        <c:axId val="958145023"/>
      </c:barChart>
      <c:lineChart>
        <c:grouping val="standard"/>
        <c:varyColors val="0"/>
        <c:ser>
          <c:idx val="1"/>
          <c:order val="1"/>
          <c:tx>
            <c:strRef>
              <c:f>Datos!$I$1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Datos!$B$2:$B$9</c:f>
              <c:strCache>
                <c:ptCount val="8"/>
                <c:pt idx="0">
                  <c:v>Racedo, Cristian</c:v>
                </c:pt>
                <c:pt idx="1">
                  <c:v>Racedo, Abel</c:v>
                </c:pt>
                <c:pt idx="2">
                  <c:v>Maldonado, Alejandra</c:v>
                </c:pt>
                <c:pt idx="3">
                  <c:v>Juarez, Alberto</c:v>
                </c:pt>
                <c:pt idx="4">
                  <c:v>Martinez, Mariana</c:v>
                </c:pt>
                <c:pt idx="5">
                  <c:v>Gomez, Graciela</c:v>
                </c:pt>
                <c:pt idx="6">
                  <c:v>Garcia, Demetrio</c:v>
                </c:pt>
                <c:pt idx="7">
                  <c:v>Cabello, Camila</c:v>
                </c:pt>
              </c:strCache>
            </c:strRef>
          </c:cat>
          <c:val>
            <c:numRef>
              <c:f>Datos!$I$2:$I$9</c:f>
              <c:numCache>
                <c:formatCode>_("$"* #,##0.00_);_("$"* \(#,##0.00\);_("$"* "-"??_);_(@_)</c:formatCode>
                <c:ptCount val="8"/>
                <c:pt idx="0">
                  <c:v>1339500</c:v>
                </c:pt>
                <c:pt idx="1">
                  <c:v>1146749.98</c:v>
                </c:pt>
                <c:pt idx="2">
                  <c:v>168000</c:v>
                </c:pt>
                <c:pt idx="3">
                  <c:v>1582119.96</c:v>
                </c:pt>
                <c:pt idx="4">
                  <c:v>421100</c:v>
                </c:pt>
                <c:pt idx="5">
                  <c:v>344500</c:v>
                </c:pt>
                <c:pt idx="6">
                  <c:v>112000</c:v>
                </c:pt>
                <c:pt idx="7">
                  <c:v>246500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64-4A3C-9689-497E33E47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159999"/>
        <c:axId val="958159583"/>
      </c:lineChart>
      <c:catAx>
        <c:axId val="95814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58145023"/>
        <c:crosses val="autoZero"/>
        <c:auto val="1"/>
        <c:lblAlgn val="ctr"/>
        <c:lblOffset val="100"/>
        <c:noMultiLvlLbl val="0"/>
      </c:catAx>
      <c:valAx>
        <c:axId val="95814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58147935"/>
        <c:crosses val="autoZero"/>
        <c:crossBetween val="between"/>
      </c:valAx>
      <c:valAx>
        <c:axId val="958159583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58159999"/>
        <c:crosses val="max"/>
        <c:crossBetween val="between"/>
      </c:valAx>
      <c:catAx>
        <c:axId val="958159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8159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mailto:cristiandracedo@hotmail.com?subject=Consulta%20EXCEL" TargetMode="External"/><Relationship Id="rId18" Type="http://schemas.openxmlformats.org/officeDocument/2006/relationships/image" Target="../media/image10.svg"/><Relationship Id="rId26" Type="http://schemas.openxmlformats.org/officeDocument/2006/relationships/image" Target="../media/image15.png"/><Relationship Id="rId39" Type="http://schemas.openxmlformats.org/officeDocument/2006/relationships/image" Target="../media/image24.svg"/><Relationship Id="rId21" Type="http://schemas.openxmlformats.org/officeDocument/2006/relationships/image" Target="../media/image12.svg"/><Relationship Id="rId34" Type="http://schemas.openxmlformats.org/officeDocument/2006/relationships/hyperlink" Target="introduccion.xlsx" TargetMode="External"/><Relationship Id="rId7" Type="http://schemas.openxmlformats.org/officeDocument/2006/relationships/hyperlink" Target="https://alumni.education" TargetMode="External"/><Relationship Id="rId12" Type="http://schemas.openxmlformats.org/officeDocument/2006/relationships/image" Target="../media/image6.svg"/><Relationship Id="rId17" Type="http://schemas.openxmlformats.org/officeDocument/2006/relationships/image" Target="../media/image9.png"/><Relationship Id="rId25" Type="http://schemas.openxmlformats.org/officeDocument/2006/relationships/hyperlink" Target="#productos!A1"/><Relationship Id="rId33" Type="http://schemas.openxmlformats.org/officeDocument/2006/relationships/image" Target="../media/image20.svg"/><Relationship Id="rId38" Type="http://schemas.openxmlformats.org/officeDocument/2006/relationships/image" Target="../media/image23.png"/><Relationship Id="rId2" Type="http://schemas.microsoft.com/office/2007/relationships/hdphoto" Target="../media/hdphoto1.wdp"/><Relationship Id="rId16" Type="http://schemas.openxmlformats.org/officeDocument/2006/relationships/hyperlink" Target="contabilidad.xlsx" TargetMode="External"/><Relationship Id="rId20" Type="http://schemas.openxmlformats.org/officeDocument/2006/relationships/image" Target="../media/image11.png"/><Relationship Id="rId29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hyperlink" Target="https://creativecommons.org/licenses/by/3.0/" TargetMode="External"/><Relationship Id="rId11" Type="http://schemas.openxmlformats.org/officeDocument/2006/relationships/image" Target="../media/image5.png"/><Relationship Id="rId24" Type="http://schemas.openxmlformats.org/officeDocument/2006/relationships/image" Target="../media/image14.svg"/><Relationship Id="rId32" Type="http://schemas.openxmlformats.org/officeDocument/2006/relationships/image" Target="../media/image19.png"/><Relationship Id="rId37" Type="http://schemas.openxmlformats.org/officeDocument/2006/relationships/hyperlink" Target="#Datos!A1"/><Relationship Id="rId5" Type="http://schemas.openxmlformats.org/officeDocument/2006/relationships/hyperlink" Target="http://informationtransfereconomics.blogspot.com/2017/02/information-equilibrium-code.html" TargetMode="External"/><Relationship Id="rId15" Type="http://schemas.openxmlformats.org/officeDocument/2006/relationships/image" Target="../media/image8.svg"/><Relationship Id="rId23" Type="http://schemas.openxmlformats.org/officeDocument/2006/relationships/image" Target="../media/image13.png"/><Relationship Id="rId28" Type="http://schemas.openxmlformats.org/officeDocument/2006/relationships/hyperlink" Target="#presentismo!A1"/><Relationship Id="rId36" Type="http://schemas.openxmlformats.org/officeDocument/2006/relationships/image" Target="../media/image22.svg"/><Relationship Id="rId10" Type="http://schemas.openxmlformats.org/officeDocument/2006/relationships/hyperlink" Target="docs/atajos-teclado.doc" TargetMode="External"/><Relationship Id="rId19" Type="http://schemas.openxmlformats.org/officeDocument/2006/relationships/hyperlink" Target="#estadisticas!A1"/><Relationship Id="rId31" Type="http://schemas.openxmlformats.org/officeDocument/2006/relationships/hyperlink" Target="#empleados!A1"/><Relationship Id="rId4" Type="http://schemas.openxmlformats.org/officeDocument/2006/relationships/image" Target="../media/image2.png"/><Relationship Id="rId9" Type="http://schemas.openxmlformats.org/officeDocument/2006/relationships/image" Target="../media/image4.svg"/><Relationship Id="rId14" Type="http://schemas.openxmlformats.org/officeDocument/2006/relationships/image" Target="../media/image7.png"/><Relationship Id="rId22" Type="http://schemas.openxmlformats.org/officeDocument/2006/relationships/hyperlink" Target="#ventas!A1"/><Relationship Id="rId27" Type="http://schemas.openxmlformats.org/officeDocument/2006/relationships/image" Target="../media/image16.svg"/><Relationship Id="rId30" Type="http://schemas.openxmlformats.org/officeDocument/2006/relationships/image" Target="../media/image18.svg"/><Relationship Id="rId35" Type="http://schemas.openxmlformats.org/officeDocument/2006/relationships/image" Target="../media/image21.png"/><Relationship Id="rId8" Type="http://schemas.openxmlformats.org/officeDocument/2006/relationships/image" Target="../media/image3.png"/><Relationship Id="rId3" Type="http://schemas.openxmlformats.org/officeDocument/2006/relationships/hyperlink" Target="https://github.com/c215714n/EducacionIT/tree/excel-mjv13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svg"/><Relationship Id="rId2" Type="http://schemas.openxmlformats.org/officeDocument/2006/relationships/image" Target="../media/image25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svg"/><Relationship Id="rId2" Type="http://schemas.openxmlformats.org/officeDocument/2006/relationships/image" Target="../media/image25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svg"/><Relationship Id="rId2" Type="http://schemas.openxmlformats.org/officeDocument/2006/relationships/image" Target="../media/image25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svg"/><Relationship Id="rId2" Type="http://schemas.openxmlformats.org/officeDocument/2006/relationships/image" Target="../media/image25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svg"/><Relationship Id="rId2" Type="http://schemas.openxmlformats.org/officeDocument/2006/relationships/image" Target="../media/image25.png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26.svg"/><Relationship Id="rId7" Type="http://schemas.openxmlformats.org/officeDocument/2006/relationships/chart" Target="../charts/chart4.xml"/><Relationship Id="rId2" Type="http://schemas.openxmlformats.org/officeDocument/2006/relationships/image" Target="../media/image25.png"/><Relationship Id="rId1" Type="http://schemas.openxmlformats.org/officeDocument/2006/relationships/hyperlink" Target="#menu!A1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42447</xdr:colOff>
      <xdr:row>1</xdr:row>
      <xdr:rowOff>39413</xdr:rowOff>
    </xdr:from>
    <xdr:to>
      <xdr:col>8</xdr:col>
      <xdr:colOff>25014</xdr:colOff>
      <xdr:row>3</xdr:row>
      <xdr:rowOff>54067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77A5D7-DE18-4D6B-9A8F-4F3304061B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31111" y1="26667" x2="26222" y2="67556"/>
                      <a14:backgroundMark x1="15556" y1="7556" x2="83111" y2="14222"/>
                    </a14:backgroundRemoval>
                  </a14:imgEffect>
                  <a14:imgEffect>
                    <a14:colorTemperature colorTemp="4700"/>
                  </a14:imgEffect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194" t="15135" r="10682" b="15676"/>
        <a:stretch/>
      </xdr:blipFill>
      <xdr:spPr>
        <a:xfrm>
          <a:off x="4864068" y="801413"/>
          <a:ext cx="1125567" cy="967154"/>
        </a:xfrm>
        <a:prstGeom prst="rect">
          <a:avLst/>
        </a:prstGeom>
      </xdr:spPr>
    </xdr:pic>
    <xdr:clientData/>
  </xdr:twoCellAnchor>
  <xdr:twoCellAnchor editAs="oneCell">
    <xdr:from>
      <xdr:col>6</xdr:col>
      <xdr:colOff>26362</xdr:colOff>
      <xdr:row>2</xdr:row>
      <xdr:rowOff>31398</xdr:rowOff>
    </xdr:from>
    <xdr:to>
      <xdr:col>6</xdr:col>
      <xdr:colOff>748159</xdr:colOff>
      <xdr:row>2</xdr:row>
      <xdr:rowOff>749436</xdr:rowOff>
    </xdr:to>
    <xdr:pic>
      <xdr:nvPicPr>
        <xdr:cNvPr id="5" name="Image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502639-26BA-405E-82FB-50A9A83DB6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rcRect l="23149" t="-216" r="24076" b="216"/>
        <a:stretch/>
      </xdr:blipFill>
      <xdr:spPr>
        <a:xfrm>
          <a:off x="3323983" y="983898"/>
          <a:ext cx="721797" cy="718038"/>
        </a:xfrm>
        <a:prstGeom prst="rect">
          <a:avLst/>
        </a:prstGeom>
      </xdr:spPr>
    </xdr:pic>
    <xdr:clientData/>
  </xdr:twoCellAnchor>
  <xdr:oneCellAnchor>
    <xdr:from>
      <xdr:col>5</xdr:col>
      <xdr:colOff>542191</xdr:colOff>
      <xdr:row>20</xdr:row>
      <xdr:rowOff>109318</xdr:rowOff>
    </xdr:from>
    <xdr:ext cx="1055077" cy="514949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9260CB85-D2E7-4BF1-BCC3-0A4EED3EA405}"/>
            </a:ext>
          </a:extLst>
        </xdr:cNvPr>
        <xdr:cNvSpPr txBox="1"/>
      </xdr:nvSpPr>
      <xdr:spPr>
        <a:xfrm>
          <a:off x="3077306" y="5062318"/>
          <a:ext cx="1055077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900">
              <a:hlinkClick xmlns:r="http://schemas.openxmlformats.org/officeDocument/2006/relationships" r:id="rId5" tooltip="http://informationtransfereconomics.blogspot.com/2017/02/information-equilibrium-code.html"/>
            </a:rPr>
            <a:t>Esta foto</a:t>
          </a:r>
          <a:r>
            <a:rPr lang="es-AR" sz="900"/>
            <a:t> de Autor desconocido está bajo licencia </a:t>
          </a:r>
          <a:r>
            <a:rPr lang="es-AR" sz="900">
              <a:hlinkClick xmlns:r="http://schemas.openxmlformats.org/officeDocument/2006/relationships" r:id="rId6" tooltip="https://creativecommons.org/licenses/by/3.0/"/>
            </a:rPr>
            <a:t>CC BY</a:t>
          </a:r>
          <a:endParaRPr lang="es-AR" sz="900"/>
        </a:p>
      </xdr:txBody>
    </xdr:sp>
    <xdr:clientData/>
  </xdr:oneCellAnchor>
  <xdr:twoCellAnchor>
    <xdr:from>
      <xdr:col>5</xdr:col>
      <xdr:colOff>59872</xdr:colOff>
      <xdr:row>2</xdr:row>
      <xdr:rowOff>59121</xdr:rowOff>
    </xdr:from>
    <xdr:to>
      <xdr:col>5</xdr:col>
      <xdr:colOff>707872</xdr:colOff>
      <xdr:row>2</xdr:row>
      <xdr:rowOff>709448</xdr:rowOff>
    </xdr:to>
    <xdr:grpSp>
      <xdr:nvGrpSpPr>
        <xdr:cNvPr id="14" name="Grupo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A665E1-826F-46DD-8AE3-5BCC3E340EBE}"/>
            </a:ext>
          </a:extLst>
        </xdr:cNvPr>
        <xdr:cNvGrpSpPr/>
      </xdr:nvGrpSpPr>
      <xdr:grpSpPr>
        <a:xfrm>
          <a:off x="3356987" y="1011621"/>
          <a:ext cx="648000" cy="650327"/>
          <a:chOff x="2596243" y="1011621"/>
          <a:chExt cx="648000" cy="650327"/>
        </a:xfrm>
      </xdr:grpSpPr>
      <xdr:sp macro="" textlink="">
        <xdr:nvSpPr>
          <xdr:cNvPr id="10" name="Triángulo isósceles 9">
            <a:extLst>
              <a:ext uri="{FF2B5EF4-FFF2-40B4-BE49-F238E27FC236}">
                <a16:creationId xmlns:a16="http://schemas.microsoft.com/office/drawing/2014/main" id="{237492C4-6460-47E5-9E7B-83C93FF949EE}"/>
              </a:ext>
            </a:extLst>
          </xdr:cNvPr>
          <xdr:cNvSpPr/>
        </xdr:nvSpPr>
        <xdr:spPr>
          <a:xfrm>
            <a:off x="2815999" y="1182414"/>
            <a:ext cx="428244" cy="472965"/>
          </a:xfrm>
          <a:prstGeom prst="triangl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grpSp>
        <xdr:nvGrpSpPr>
          <xdr:cNvPr id="13" name="Grupo 12">
            <a:extLst>
              <a:ext uri="{FF2B5EF4-FFF2-40B4-BE49-F238E27FC236}">
                <a16:creationId xmlns:a16="http://schemas.microsoft.com/office/drawing/2014/main" id="{BCC26A3D-026F-45C8-AE4B-2238DD665979}"/>
              </a:ext>
            </a:extLst>
          </xdr:cNvPr>
          <xdr:cNvGrpSpPr/>
        </xdr:nvGrpSpPr>
        <xdr:grpSpPr>
          <a:xfrm>
            <a:off x="2596243" y="1011621"/>
            <a:ext cx="489857" cy="650327"/>
            <a:chOff x="2596243" y="1011621"/>
            <a:chExt cx="489857" cy="650327"/>
          </a:xfrm>
        </xdr:grpSpPr>
        <xdr:sp macro="" textlink="">
          <xdr:nvSpPr>
            <xdr:cNvPr id="7" name="Paralelogramo 6">
              <a:extLst>
                <a:ext uri="{FF2B5EF4-FFF2-40B4-BE49-F238E27FC236}">
                  <a16:creationId xmlns:a16="http://schemas.microsoft.com/office/drawing/2014/main" id="{43AF4F17-B3AE-44AD-B7DC-5D78267E3490}"/>
                </a:ext>
              </a:extLst>
            </xdr:cNvPr>
            <xdr:cNvSpPr/>
          </xdr:nvSpPr>
          <xdr:spPr>
            <a:xfrm>
              <a:off x="2596243" y="1011621"/>
              <a:ext cx="445148" cy="650327"/>
            </a:xfrm>
            <a:prstGeom prst="parallelogram">
              <a:avLst>
                <a:gd name="adj" fmla="val 72111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  <xdr:sp macro="" textlink="">
          <xdr:nvSpPr>
            <xdr:cNvPr id="11" name="Triángulo isósceles 10">
              <a:extLst>
                <a:ext uri="{FF2B5EF4-FFF2-40B4-BE49-F238E27FC236}">
                  <a16:creationId xmlns:a16="http://schemas.microsoft.com/office/drawing/2014/main" id="{93738D76-3A9B-4AB7-8BBF-5C638E0E6F92}"/>
                </a:ext>
              </a:extLst>
            </xdr:cNvPr>
            <xdr:cNvSpPr/>
          </xdr:nvSpPr>
          <xdr:spPr>
            <a:xfrm>
              <a:off x="2775857" y="1240970"/>
              <a:ext cx="310243" cy="315875"/>
            </a:xfrm>
            <a:prstGeom prst="triangle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</xdr:grpSp>
    </xdr:grpSp>
    <xdr:clientData/>
  </xdr:twoCellAnchor>
  <xdr:twoCellAnchor editAs="oneCell">
    <xdr:from>
      <xdr:col>7</xdr:col>
      <xdr:colOff>203818</xdr:colOff>
      <xdr:row>0</xdr:row>
      <xdr:rowOff>19707</xdr:rowOff>
    </xdr:from>
    <xdr:to>
      <xdr:col>7</xdr:col>
      <xdr:colOff>922327</xdr:colOff>
      <xdr:row>0</xdr:row>
      <xdr:rowOff>739707</xdr:rowOff>
    </xdr:to>
    <xdr:pic>
      <xdr:nvPicPr>
        <xdr:cNvPr id="17" name="Gráfico 16" descr="Hogar con relleno sólido">
          <a:extLst>
            <a:ext uri="{FF2B5EF4-FFF2-40B4-BE49-F238E27FC236}">
              <a16:creationId xmlns:a16="http://schemas.microsoft.com/office/drawing/2014/main" id="{76D2EF20-7EC0-4FA2-ACF5-5A76F74FB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025439" y="19707"/>
          <a:ext cx="718509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43239</xdr:colOff>
      <xdr:row>2</xdr:row>
      <xdr:rowOff>43239</xdr:rowOff>
    </xdr:from>
    <xdr:to>
      <xdr:col>5</xdr:col>
      <xdr:colOff>1239</xdr:colOff>
      <xdr:row>3</xdr:row>
      <xdr:rowOff>1239</xdr:rowOff>
    </xdr:to>
    <xdr:pic>
      <xdr:nvPicPr>
        <xdr:cNvPr id="21" name="Gráfico 20" descr="Lápiz con relleno sólid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014007C-0406-4B24-9F57-575E92F2E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815717" y="99573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19304</xdr:colOff>
      <xdr:row>2</xdr:row>
      <xdr:rowOff>27587</xdr:rowOff>
    </xdr:from>
    <xdr:to>
      <xdr:col>2</xdr:col>
      <xdr:colOff>739304</xdr:colOff>
      <xdr:row>2</xdr:row>
      <xdr:rowOff>747587</xdr:rowOff>
    </xdr:to>
    <xdr:pic>
      <xdr:nvPicPr>
        <xdr:cNvPr id="23" name="Gráfico 22" descr="Correo electrónico con relleno sólid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D08A190-9E70-4AFF-A8B3-45B09D1B7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029782" y="980087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20217</xdr:colOff>
      <xdr:row>2</xdr:row>
      <xdr:rowOff>53348</xdr:rowOff>
    </xdr:from>
    <xdr:to>
      <xdr:col>1</xdr:col>
      <xdr:colOff>740217</xdr:colOff>
      <xdr:row>3</xdr:row>
      <xdr:rowOff>11348</xdr:rowOff>
    </xdr:to>
    <xdr:pic>
      <xdr:nvPicPr>
        <xdr:cNvPr id="25" name="Gráfico 24" descr="Documento con relleno sólid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A1FFC59-70E4-48E4-943C-13B3CDA4C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68695" y="100584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7707</xdr:colOff>
      <xdr:row>0</xdr:row>
      <xdr:rowOff>21416</xdr:rowOff>
    </xdr:from>
    <xdr:to>
      <xdr:col>6</xdr:col>
      <xdr:colOff>727707</xdr:colOff>
      <xdr:row>0</xdr:row>
      <xdr:rowOff>741416</xdr:rowOff>
    </xdr:to>
    <xdr:pic>
      <xdr:nvPicPr>
        <xdr:cNvPr id="27" name="Gráfico 26" descr="Tendencia al alza con relleno sólid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1AD432C-FCC0-417E-A9D4-37F00040C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305328" y="21416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28613</xdr:colOff>
      <xdr:row>0</xdr:row>
      <xdr:rowOff>50319</xdr:rowOff>
    </xdr:from>
    <xdr:to>
      <xdr:col>5</xdr:col>
      <xdr:colOff>748613</xdr:colOff>
      <xdr:row>1</xdr:row>
      <xdr:rowOff>8319</xdr:rowOff>
    </xdr:to>
    <xdr:pic>
      <xdr:nvPicPr>
        <xdr:cNvPr id="29" name="Gráfico 28" descr="Dinero con relleno sólid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A6084AA-F53F-468A-9B32-1E6954265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564234" y="5031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26384</xdr:colOff>
      <xdr:row>0</xdr:row>
      <xdr:rowOff>124347</xdr:rowOff>
    </xdr:from>
    <xdr:to>
      <xdr:col>4</xdr:col>
      <xdr:colOff>746384</xdr:colOff>
      <xdr:row>1</xdr:row>
      <xdr:rowOff>82347</xdr:rowOff>
    </xdr:to>
    <xdr:pic>
      <xdr:nvPicPr>
        <xdr:cNvPr id="31" name="Gráfico 30" descr="Camión con relleno sólid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AA7C475-B37A-4CCE-B2D4-940C1D262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1800005" y="124347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17300</xdr:colOff>
      <xdr:row>0</xdr:row>
      <xdr:rowOff>0</xdr:rowOff>
    </xdr:from>
    <xdr:to>
      <xdr:col>2</xdr:col>
      <xdr:colOff>737300</xdr:colOff>
      <xdr:row>0</xdr:row>
      <xdr:rowOff>720000</xdr:rowOff>
    </xdr:to>
    <xdr:pic>
      <xdr:nvPicPr>
        <xdr:cNvPr id="33" name="Gráfico 32" descr="Lista con relleno sólid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4F3F5FD-BAC2-44B2-BB0B-6FFDFEBE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1028921" y="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29638</xdr:colOff>
      <xdr:row>0</xdr:row>
      <xdr:rowOff>28211</xdr:rowOff>
    </xdr:from>
    <xdr:to>
      <xdr:col>1</xdr:col>
      <xdr:colOff>749638</xdr:colOff>
      <xdr:row>0</xdr:row>
      <xdr:rowOff>748211</xdr:rowOff>
    </xdr:to>
    <xdr:pic>
      <xdr:nvPicPr>
        <xdr:cNvPr id="35" name="Gráfico 34" descr="Identificación de empleado con relleno sólid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5D4C4E-113F-4FC2-A953-6E2C58AEB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3"/>
            </a:ext>
          </a:extLst>
        </a:blip>
        <a:stretch>
          <a:fillRect/>
        </a:stretch>
      </xdr:blipFill>
      <xdr:spPr>
        <a:xfrm>
          <a:off x="279259" y="28211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6569</xdr:colOff>
      <xdr:row>2</xdr:row>
      <xdr:rowOff>65690</xdr:rowOff>
    </xdr:from>
    <xdr:to>
      <xdr:col>3</xdr:col>
      <xdr:colOff>726569</xdr:colOff>
      <xdr:row>3</xdr:row>
      <xdr:rowOff>95949</xdr:rowOff>
    </xdr:to>
    <xdr:pic>
      <xdr:nvPicPr>
        <xdr:cNvPr id="37" name="Gráfico 36" descr="Maestro con relleno sólido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7EC6615-3B9D-4625-963F-E79BA1A97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1780190" y="1018190"/>
          <a:ext cx="720000" cy="792259"/>
        </a:xfrm>
        <a:prstGeom prst="rect">
          <a:avLst/>
        </a:prstGeom>
      </xdr:spPr>
    </xdr:pic>
    <xdr:clientData/>
  </xdr:twoCellAnchor>
  <xdr:twoCellAnchor editAs="oneCell">
    <xdr:from>
      <xdr:col>3</xdr:col>
      <xdr:colOff>18622</xdr:colOff>
      <xdr:row>0</xdr:row>
      <xdr:rowOff>32845</xdr:rowOff>
    </xdr:from>
    <xdr:to>
      <xdr:col>3</xdr:col>
      <xdr:colOff>738622</xdr:colOff>
      <xdr:row>0</xdr:row>
      <xdr:rowOff>752845</xdr:rowOff>
    </xdr:to>
    <xdr:pic>
      <xdr:nvPicPr>
        <xdr:cNvPr id="39" name="Gráfico 38" descr="Base de datos con relleno sólido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F5AC3CF-96E8-4D64-933D-5F14965FC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9"/>
            </a:ext>
          </a:extLst>
        </a:blip>
        <a:stretch>
          <a:fillRect/>
        </a:stretch>
      </xdr:blipFill>
      <xdr:spPr>
        <a:xfrm>
          <a:off x="1792243" y="32845"/>
          <a:ext cx="72000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41672</xdr:colOff>
      <xdr:row>0</xdr:row>
      <xdr:rowOff>5953</xdr:rowOff>
    </xdr:from>
    <xdr:to>
      <xdr:col>0</xdr:col>
      <xdr:colOff>221672</xdr:colOff>
      <xdr:row>0</xdr:row>
      <xdr:rowOff>185953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566A93-CD6C-405F-8330-9C001880D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1672" y="5953"/>
          <a:ext cx="180000" cy="1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41672</xdr:colOff>
      <xdr:row>0</xdr:row>
      <xdr:rowOff>5953</xdr:rowOff>
    </xdr:from>
    <xdr:to>
      <xdr:col>0</xdr:col>
      <xdr:colOff>221672</xdr:colOff>
      <xdr:row>0</xdr:row>
      <xdr:rowOff>185953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A9F8D-2ABF-4A55-AA7E-0BDEAE59C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1672" y="5953"/>
          <a:ext cx="180000" cy="1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374570</xdr:rowOff>
    </xdr:from>
    <xdr:to>
      <xdr:col>0</xdr:col>
      <xdr:colOff>208575</xdr:colOff>
      <xdr:row>0</xdr:row>
      <xdr:rowOff>554570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E6C6AF-DD3F-4AF2-B521-08A15E93F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6200000">
          <a:off x="28575" y="374570"/>
          <a:ext cx="180000" cy="18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41672</xdr:colOff>
      <xdr:row>0</xdr:row>
      <xdr:rowOff>5953</xdr:rowOff>
    </xdr:from>
    <xdr:to>
      <xdr:col>0</xdr:col>
      <xdr:colOff>221672</xdr:colOff>
      <xdr:row>0</xdr:row>
      <xdr:rowOff>185953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4E7848-5AE7-4C4C-9124-8375E246E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1672" y="5953"/>
          <a:ext cx="180000" cy="180000"/>
        </a:xfrm>
        <a:prstGeom prst="rect">
          <a:avLst/>
        </a:prstGeom>
      </xdr:spPr>
    </xdr:pic>
    <xdr:clientData/>
  </xdr:twoCellAnchor>
  <xdr:twoCellAnchor editAs="absolute">
    <xdr:from>
      <xdr:col>10</xdr:col>
      <xdr:colOff>431968</xdr:colOff>
      <xdr:row>7</xdr:row>
      <xdr:rowOff>76200</xdr:rowOff>
    </xdr:from>
    <xdr:to>
      <xdr:col>12</xdr:col>
      <xdr:colOff>179572</xdr:colOff>
      <xdr:row>19</xdr:row>
      <xdr:rowOff>32302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ategoria">
              <a:extLst>
                <a:ext uri="{FF2B5EF4-FFF2-40B4-BE49-F238E27FC236}">
                  <a16:creationId xmlns:a16="http://schemas.microsoft.com/office/drawing/2014/main" id="{26125B25-1D7F-422D-B0C8-AD9A940720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42952" y="1439008"/>
              <a:ext cx="1266825" cy="22421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228440</xdr:colOff>
      <xdr:row>7</xdr:row>
      <xdr:rowOff>85725</xdr:rowOff>
    </xdr:from>
    <xdr:to>
      <xdr:col>13</xdr:col>
      <xdr:colOff>889042</xdr:colOff>
      <xdr:row>19</xdr:row>
      <xdr:rowOff>41827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Marca">
              <a:extLst>
                <a:ext uri="{FF2B5EF4-FFF2-40B4-BE49-F238E27FC236}">
                  <a16:creationId xmlns:a16="http://schemas.microsoft.com/office/drawing/2014/main" id="{3BB6FFCD-4B52-4761-8F83-BE2D8AFD5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58645" y="1448533"/>
              <a:ext cx="1266825" cy="22421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41672</xdr:colOff>
      <xdr:row>0</xdr:row>
      <xdr:rowOff>5953</xdr:rowOff>
    </xdr:from>
    <xdr:to>
      <xdr:col>0</xdr:col>
      <xdr:colOff>221672</xdr:colOff>
      <xdr:row>0</xdr:row>
      <xdr:rowOff>185953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168FF-7D10-4FB7-9DF8-C368ACC20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1672" y="5953"/>
          <a:ext cx="180000" cy="180000"/>
        </a:xfrm>
        <a:prstGeom prst="rect">
          <a:avLst/>
        </a:prstGeom>
      </xdr:spPr>
    </xdr:pic>
    <xdr:clientData/>
  </xdr:twoCellAnchor>
  <xdr:twoCellAnchor editAs="absolute">
    <xdr:from>
      <xdr:col>11</xdr:col>
      <xdr:colOff>683118</xdr:colOff>
      <xdr:row>0</xdr:row>
      <xdr:rowOff>0</xdr:rowOff>
    </xdr:from>
    <xdr:to>
      <xdr:col>13</xdr:col>
      <xdr:colOff>477246</xdr:colOff>
      <xdr:row>10</xdr:row>
      <xdr:rowOff>22777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Empleado">
              <a:extLst>
                <a:ext uri="{FF2B5EF4-FFF2-40B4-BE49-F238E27FC236}">
                  <a16:creationId xmlns:a16="http://schemas.microsoft.com/office/drawing/2014/main" id="{49E2AA26-0C85-4C34-AA08-61871E79F5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e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14205" y="0"/>
              <a:ext cx="1318128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565628</xdr:colOff>
      <xdr:row>0</xdr:row>
      <xdr:rowOff>0</xdr:rowOff>
    </xdr:from>
    <xdr:to>
      <xdr:col>15</xdr:col>
      <xdr:colOff>220024</xdr:colOff>
      <xdr:row>10</xdr:row>
      <xdr:rowOff>22777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Producto">
              <a:extLst>
                <a:ext uri="{FF2B5EF4-FFF2-40B4-BE49-F238E27FC236}">
                  <a16:creationId xmlns:a16="http://schemas.microsoft.com/office/drawing/2014/main" id="{86688E13-B778-4F17-81A6-B200C98A58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0715" y="0"/>
              <a:ext cx="1178396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41672</xdr:colOff>
      <xdr:row>0</xdr:row>
      <xdr:rowOff>5953</xdr:rowOff>
    </xdr:from>
    <xdr:to>
      <xdr:col>0</xdr:col>
      <xdr:colOff>221672</xdr:colOff>
      <xdr:row>0</xdr:row>
      <xdr:rowOff>185953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1C1AA-53DA-485F-A9C4-7BCBE10AC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1672" y="5953"/>
          <a:ext cx="180000" cy="180000"/>
        </a:xfrm>
        <a:prstGeom prst="rect">
          <a:avLst/>
        </a:prstGeom>
      </xdr:spPr>
    </xdr:pic>
    <xdr:clientData/>
  </xdr:twoCellAnchor>
  <xdr:twoCellAnchor>
    <xdr:from>
      <xdr:col>0</xdr:col>
      <xdr:colOff>74543</xdr:colOff>
      <xdr:row>1</xdr:row>
      <xdr:rowOff>91107</xdr:rowOff>
    </xdr:from>
    <xdr:to>
      <xdr:col>8</xdr:col>
      <xdr:colOff>66261</xdr:colOff>
      <xdr:row>20</xdr:row>
      <xdr:rowOff>149087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89F9B60-E571-458C-A0CC-1262221FB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115957</xdr:colOff>
      <xdr:row>1</xdr:row>
      <xdr:rowOff>82825</xdr:rowOff>
    </xdr:from>
    <xdr:to>
      <xdr:col>13</xdr:col>
      <xdr:colOff>745435</xdr:colOff>
      <xdr:row>20</xdr:row>
      <xdr:rowOff>142874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E35531D-9680-479D-81C6-A34E4372E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92351</xdr:colOff>
      <xdr:row>21</xdr:row>
      <xdr:rowOff>28575</xdr:rowOff>
    </xdr:from>
    <xdr:to>
      <xdr:col>5</xdr:col>
      <xdr:colOff>738395</xdr:colOff>
      <xdr:row>40</xdr:row>
      <xdr:rowOff>78271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FD359B9-A87C-4414-B5F9-5A631C363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57149</xdr:colOff>
      <xdr:row>21</xdr:row>
      <xdr:rowOff>28575</xdr:rowOff>
    </xdr:from>
    <xdr:to>
      <xdr:col>13</xdr:col>
      <xdr:colOff>752474</xdr:colOff>
      <xdr:row>40</xdr:row>
      <xdr:rowOff>85725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547DD50-8606-4825-A867-284AE80E0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123824</xdr:colOff>
      <xdr:row>40</xdr:row>
      <xdr:rowOff>142874</xdr:rowOff>
    </xdr:from>
    <xdr:to>
      <xdr:col>13</xdr:col>
      <xdr:colOff>761999</xdr:colOff>
      <xdr:row>60</xdr:row>
      <xdr:rowOff>19049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5D58AB6-A023-4CE5-A431-5CB5B2EE4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38100</xdr:colOff>
      <xdr:row>40</xdr:row>
      <xdr:rowOff>142874</xdr:rowOff>
    </xdr:from>
    <xdr:to>
      <xdr:col>8</xdr:col>
      <xdr:colOff>28575</xdr:colOff>
      <xdr:row>60</xdr:row>
      <xdr:rowOff>19049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EBFCC70-44AD-4C92-A8F9-5FDA2DD70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cacionIT" refreshedDate="44911.69983784722" createdVersion="7" refreshedVersion="7" minRefreshableVersion="3" recordCount="15" xr:uid="{102C9A6B-9FB2-4790-839E-1DE16CB5F38B}">
  <cacheSource type="worksheet">
    <worksheetSource name="tabla_productos"/>
  </cacheSource>
  <cacheFields count="9">
    <cacheField name="Codigo" numFmtId="0">
      <sharedItems containsSemiMixedTypes="0" containsString="0" containsNumber="1" containsInteger="1" minValue="1" maxValue="15"/>
    </cacheField>
    <cacheField name="Descripcion" numFmtId="0">
      <sharedItems count="15">
        <s v="Microondas 15L"/>
        <s v="Secarropas 5L Carga Superior"/>
        <s v="Televisor 49'' Smart TV"/>
        <s v="Impresora SmartTank 510 series"/>
        <s v="Mesa de melamina 180x120"/>
        <s v="Sillas de madera 100x60"/>
        <s v="Aire Acondicionado 3800 frigorias"/>
        <s v="Notebook Elitebook 8500 series"/>
        <s v="Lavarropas Carga Frontal 8Kg"/>
        <s v="Notebook Thinkpad 3800 series"/>
        <s v="Acondicionador 500ml anticaspa"/>
        <s v="Shampoo 1L cabellos fragiles"/>
        <s v="Televisor 32'' AMOLED"/>
        <s v="Jabon humentacte x 3"/>
        <s v="Secador de Pelo 3800rpm"/>
      </sharedItems>
    </cacheField>
    <cacheField name="Categoria" numFmtId="0">
      <sharedItems count="4">
        <s v="Electro"/>
        <s v="Hogar"/>
        <s v="Tecnologia"/>
        <s v="Estetica"/>
      </sharedItems>
    </cacheField>
    <cacheField name="Marca" numFmtId="0">
      <sharedItems count="10">
        <s v="Atma"/>
        <s v="Drean"/>
        <s v="Samsung"/>
        <s v="HP"/>
        <s v="Top House"/>
        <s v="Dell"/>
        <s v="Dove"/>
        <s v="Sedal"/>
        <s v="LG"/>
        <s v="Liliana"/>
      </sharedItems>
    </cacheField>
    <cacheField name="Precio" numFmtId="44">
      <sharedItems containsSemiMixedTypes="0" containsString="0" containsNumber="1" minValue="1650" maxValue="200530"/>
    </cacheField>
    <cacheField name="Stock" numFmtId="1">
      <sharedItems containsSemiMixedTypes="0" containsString="0" containsNumber="1" containsInteger="1" minValue="2380" maxValue="18390"/>
    </cacheField>
    <cacheField name="Vendidos" numFmtId="165">
      <sharedItems containsSemiMixedTypes="0" containsString="0" containsNumber="1" containsInteger="1" minValue="0" maxValue="17"/>
    </cacheField>
    <cacheField name="Recaudado" numFmtId="44">
      <sharedItems containsSemiMixedTypes="0" containsString="0" containsNumber="1" minValue="0" maxValue="1326500"/>
    </cacheField>
    <cacheField name="ventas" numFmtId="0">
      <sharedItems containsSemiMixedTypes="0" containsString="0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x v="0"/>
    <x v="0"/>
    <x v="0"/>
    <n v="25000"/>
    <n v="3000"/>
    <n v="4"/>
    <n v="100000"/>
    <n v="2"/>
  </r>
  <r>
    <n v="2"/>
    <x v="1"/>
    <x v="0"/>
    <x v="1"/>
    <n v="56000"/>
    <n v="5399"/>
    <n v="17"/>
    <n v="952000"/>
    <n v="7"/>
  </r>
  <r>
    <n v="3"/>
    <x v="2"/>
    <x v="1"/>
    <x v="2"/>
    <n v="124999.99"/>
    <n v="2380"/>
    <n v="6"/>
    <n v="749999.94000000006"/>
    <n v="2"/>
  </r>
  <r>
    <n v="4"/>
    <x v="3"/>
    <x v="2"/>
    <x v="3"/>
    <n v="35500"/>
    <n v="4500"/>
    <n v="4"/>
    <n v="142000"/>
    <n v="2"/>
  </r>
  <r>
    <n v="5"/>
    <x v="4"/>
    <x v="1"/>
    <x v="4"/>
    <n v="85750"/>
    <n v="13599"/>
    <n v="7"/>
    <n v="600250"/>
    <n v="3"/>
  </r>
  <r>
    <n v="6"/>
    <x v="5"/>
    <x v="1"/>
    <x v="4"/>
    <n v="8599.99"/>
    <n v="18390"/>
    <n v="6"/>
    <n v="213000"/>
    <n v="1"/>
  </r>
  <r>
    <n v="7"/>
    <x v="6"/>
    <x v="0"/>
    <x v="2"/>
    <n v="165800"/>
    <n v="2890"/>
    <n v="0"/>
    <n v="0"/>
    <n v="0"/>
  </r>
  <r>
    <n v="8"/>
    <x v="7"/>
    <x v="2"/>
    <x v="3"/>
    <n v="200530"/>
    <n v="5000"/>
    <n v="4"/>
    <n v="802120"/>
    <n v="1"/>
  </r>
  <r>
    <n v="9"/>
    <x v="8"/>
    <x v="0"/>
    <x v="1"/>
    <n v="156000"/>
    <n v="8500"/>
    <n v="3"/>
    <n v="468000"/>
    <n v="1"/>
  </r>
  <r>
    <n v="10"/>
    <x v="9"/>
    <x v="2"/>
    <x v="5"/>
    <n v="189500"/>
    <n v="3190"/>
    <n v="7"/>
    <n v="1326500"/>
    <n v="2"/>
  </r>
  <r>
    <n v="11"/>
    <x v="10"/>
    <x v="3"/>
    <x v="6"/>
    <n v="1650"/>
    <n v="9850"/>
    <n v="4"/>
    <n v="6600"/>
    <n v="1"/>
  </r>
  <r>
    <n v="12"/>
    <x v="11"/>
    <x v="3"/>
    <x v="7"/>
    <n v="3200"/>
    <n v="4900"/>
    <n v="0"/>
    <n v="0"/>
    <n v="0"/>
  </r>
  <r>
    <n v="13"/>
    <x v="12"/>
    <x v="1"/>
    <x v="8"/>
    <n v="95600"/>
    <n v="2890"/>
    <n v="0"/>
    <n v="0"/>
    <n v="0"/>
  </r>
  <r>
    <n v="14"/>
    <x v="13"/>
    <x v="3"/>
    <x v="6"/>
    <n v="1800"/>
    <n v="9540"/>
    <n v="0"/>
    <n v="0"/>
    <n v="0"/>
  </r>
  <r>
    <n v="15"/>
    <x v="14"/>
    <x v="3"/>
    <x v="9"/>
    <n v="28500"/>
    <n v="549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A34821-6A0E-4A0E-AE9C-3DC70CBA56C7}" name="TablaDinámica1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6" firstHeaderRow="1" firstDataRow="2" firstDataCol="1" rowPageCount="1" colPageCount="1"/>
  <pivotFields count="9">
    <pivotField showAll="0"/>
    <pivotField axis="axisPage" showAll="0">
      <items count="16">
        <item x="10"/>
        <item x="6"/>
        <item x="3"/>
        <item x="13"/>
        <item x="8"/>
        <item x="4"/>
        <item x="0"/>
        <item x="7"/>
        <item x="9"/>
        <item x="14"/>
        <item x="1"/>
        <item x="11"/>
        <item x="5"/>
        <item x="12"/>
        <item x="2"/>
        <item t="default"/>
      </items>
    </pivotField>
    <pivotField axis="axisCol" showAll="0">
      <items count="5">
        <item x="0"/>
        <item x="3"/>
        <item x="1"/>
        <item x="2"/>
        <item t="default"/>
      </items>
    </pivotField>
    <pivotField axis="axisRow" showAll="0">
      <items count="11">
        <item sd="0" x="0"/>
        <item sd="0" x="5"/>
        <item sd="0" x="6"/>
        <item sd="0" x="1"/>
        <item sd="0" x="3"/>
        <item sd="0" x="8"/>
        <item sd="0" x="9"/>
        <item sd="0" x="2"/>
        <item sd="0" x="7"/>
        <item sd="0" x="4"/>
        <item t="default"/>
      </items>
    </pivotField>
    <pivotField numFmtId="44" showAll="0"/>
    <pivotField numFmtId="1" showAll="0"/>
    <pivotField numFmtId="165" showAll="0"/>
    <pivotField numFmtId="44" showAll="0"/>
    <pivotField showAll="0"/>
  </pivotFields>
  <rowFields count="1">
    <field x="3"/>
  </rowFields>
  <rowItems count="2">
    <i>
      <x v="4"/>
    </i>
    <i t="grand">
      <x/>
    </i>
  </rowItems>
  <colFields count="1">
    <field x="2"/>
  </colFields>
  <colItems count="2">
    <i>
      <x v="3"/>
    </i>
    <i t="grand">
      <x/>
    </i>
  </colItems>
  <pageFields count="1">
    <pageField fld="1" item="7" hier="-1"/>
  </pageFields>
  <formats count="4">
    <format dxfId="137">
      <pivotArea outline="0" collapsedLevelsAreSubtotals="1" fieldPosition="0"/>
    </format>
    <format dxfId="118">
      <pivotArea dataOnly="0" labelOnly="1" fieldPosition="0">
        <references count="1">
          <reference field="2" count="1">
            <x v="0"/>
          </reference>
        </references>
      </pivotArea>
    </format>
    <format dxfId="69">
      <pivotArea field="-2" type="button" dataOnly="0" labelOnly="1" outline="0"/>
    </format>
    <format dxfId="65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08C1BA63-FB4B-4B37-BCB8-C59309AE4B91}" sourceName="Categoria">
  <extLst>
    <x:ext xmlns:x15="http://schemas.microsoft.com/office/spreadsheetml/2010/11/main" uri="{2F2917AC-EB37-4324-AD4E-5DD8C200BD13}">
      <x15:tableSlicerCache tableId="7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ca" xr10:uid="{FA10C232-3EA4-4485-B0EB-D299D06B3064}" sourceName="Marca">
  <extLst>
    <x:ext xmlns:x15="http://schemas.microsoft.com/office/spreadsheetml/2010/11/main" uri="{2F2917AC-EB37-4324-AD4E-5DD8C200BD13}">
      <x15:tableSlicerCache tableId="7" column="6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mpleado" xr10:uid="{15E8E944-7428-473E-9557-6A187ABA2838}" sourceName="Empleado">
  <extLst>
    <x:ext xmlns:x15="http://schemas.microsoft.com/office/spreadsheetml/2010/11/main" uri="{2F2917AC-EB37-4324-AD4E-5DD8C200BD13}">
      <x15:tableSlicerCache tableId="5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" xr10:uid="{9CBA62A1-8EBF-4BE8-9A7F-F7228BE4E172}" sourceName="Producto">
  <extLst>
    <x:ext xmlns:x15="http://schemas.microsoft.com/office/spreadsheetml/2010/11/main" uri="{2F2917AC-EB37-4324-AD4E-5DD8C200BD13}">
      <x15:tableSlicerCache tableId="5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6E441EB7-F6DE-4F6A-B6D8-00AA726D0F77}" cache="SegmentaciónDeDatos_Categoria" caption="Categoria" rowHeight="241300"/>
  <slicer name="Marca" xr10:uid="{06939A73-CF39-48F1-9DCA-B7ED514D2495}" cache="SegmentaciónDeDatos_Marca" caption="Marca" startItem="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eado" xr10:uid="{F0A3EAD6-38A8-44D3-B735-B9848CED9562}" cache="SegmentaciónDeDatos_Empleado" caption="Empleado" startItem="1" rowHeight="241300"/>
  <slicer name="Producto" xr10:uid="{4E70F67D-9C31-45B5-A470-342FB74F1837}" cache="SegmentaciónDeDatos_Producto" caption="Produc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7F421-A303-4292-9998-E17312DF5C4D}" name="tabla_empleados" displayName="tabla_empleados" comment="Informacion del Personal de la Empresa" ref="B1:K9" totalsRowShown="0">
  <autoFilter ref="B1:K9" xr:uid="{FAF7F421-A303-4292-9998-E17312DF5C4D}"/>
  <tableColumns count="10">
    <tableColumn id="9" xr3:uid="{A3DC2312-AD47-4AAC-8E22-E8B427243A5B}" name="Codigo"/>
    <tableColumn id="1" xr3:uid="{645ADEB6-B8E8-42E8-AA74-3CE57DF4BF08}" name="Nombre"/>
    <tableColumn id="8" xr3:uid="{D35B55AE-2BA9-492C-82D5-C765C90247E4}" name="Apellido"/>
    <tableColumn id="2" xr3:uid="{2B468B38-0B14-4C36-8324-49C05B2F071E}" name="Nacimiento" dataDxfId="170"/>
    <tableColumn id="6" xr3:uid="{D4533D99-3030-48D8-95FA-AB65ECFD7909}" name="Edad" dataDxfId="169" dataCellStyle="Millares">
      <calculatedColumnFormula>año_actual-YEAR(tabla_empleados[[#This Row],[Nacimiento]])</calculatedColumnFormula>
    </tableColumn>
    <tableColumn id="4" xr3:uid="{B8337F0C-C37F-4DFD-94E6-26A12D426265}" name="CUIL"/>
    <tableColumn id="12" xr3:uid="{887DDF5F-2191-4315-9EF2-3C899D0F4A1A}" name="G" dataDxfId="168">
      <calculatedColumnFormula>LEFT(tabla_empleados[[#This Row],[CUIL]],2)</calculatedColumnFormula>
    </tableColumn>
    <tableColumn id="11" xr3:uid="{FC13B777-A483-475A-8B84-2A386013D7AE}" name="DU" dataDxfId="167" dataCellStyle="Millares">
      <calculatedColumnFormula>MID(tabla_empleados[[#This Row],[CUIL]],4,8)</calculatedColumnFormula>
    </tableColumn>
    <tableColumn id="10" xr3:uid="{8F4046EF-FE5C-48DC-A976-96DB774EC283}" name="V" dataDxfId="166">
      <calculatedColumnFormula>RIGHT(tabla_empleados[[#This Row],[CUIL]],1)</calculatedColumnFormula>
    </tableColumn>
    <tableColumn id="5" xr3:uid="{81BCC680-E3A8-445F-A127-EA969D0EB07D}" name="Telefo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DF3F30-502A-4F21-BCA4-ECFD83EEB22A}" name="tabla_datos" displayName="tabla_datos" comment="Tabla con extraccion de Nombre y apellido de Empleados" ref="B1:I9" totalsRowShown="0">
  <autoFilter ref="B1:I9" xr:uid="{CADF3F30-502A-4F21-BCA4-ECFD83EEB22A}"/>
  <sortState xmlns:xlrd2="http://schemas.microsoft.com/office/spreadsheetml/2017/richdata2" ref="B2:I9">
    <sortCondition ref="C1:C9"/>
  </sortState>
  <tableColumns count="8">
    <tableColumn id="1" xr3:uid="{29B4FC90-C2F0-4B58-BFFA-F95ED0272441}" name="Empleado">
      <calculatedColumnFormula>TRIM(presentismo!B2)</calculatedColumnFormula>
    </tableColumn>
    <tableColumn id="8" xr3:uid="{D80479C4-D809-4CDB-91A7-BD696031D3A2}" name="Codigo"/>
    <tableColumn id="2" xr3:uid="{D3F48162-106C-421E-BE38-BF662E293D6F}" name="Nombre" dataDxfId="165">
      <calculatedColumnFormula>RIGHT(tabla_datos[[#This Row],[Empleado]],tabla_datos[[#This Row],[largo]]-(tabla_datos[[#This Row],[posicion]] + 1))</calculatedColumnFormula>
    </tableColumn>
    <tableColumn id="3" xr3:uid="{E129AACC-862D-4EED-B93F-0A6B9FDD5B4F}" name="Apellido" dataDxfId="164">
      <calculatedColumnFormula>LEFT(tabla_datos[[#This Row],[Empleado]],tabla_datos[[#This Row],[posicion]]-1)</calculatedColumnFormula>
    </tableColumn>
    <tableColumn id="4" xr3:uid="{2A2B9009-32C3-43F8-B562-B70931954ACA}" name="posicion" dataDxfId="163">
      <calculatedColumnFormula>FIND(char,tabla_datos[[#This Row],[Empleado]])</calculatedColumnFormula>
    </tableColumn>
    <tableColumn id="5" xr3:uid="{D1BEFD8D-0CE7-4A41-AA4D-42AF9EBA799E}" name="largo" dataDxfId="162">
      <calculatedColumnFormula>LEN(tabla_datos[[#This Row],[Empleado]])</calculatedColumnFormula>
    </tableColumn>
    <tableColumn id="6" xr3:uid="{6B6D30C1-3F3F-4F3E-ADFA-2254F14415E5}" name="Ventas" dataDxfId="161">
      <calculatedColumnFormula>COUNTIF(tabla_ventas[Empleado],tabla_datos[[#This Row],[Codigo]])</calculatedColumnFormula>
    </tableColumn>
    <tableColumn id="7" xr3:uid="{6BDDF0CB-3B6F-45A4-9838-E9A224BE1A5C}" name="Total" dataDxfId="160">
      <calculatedColumnFormula>SUMIF(tabla_ventas[Empleado],tabla_datos[[#This Row],[Codigo]],tabla_ventas[Total])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DAA7C3-8992-47A2-86C7-7945438D7830}" name="tabla_productos" displayName="tabla_productos" ref="B1:J16" totalsRowShown="0">
  <autoFilter ref="B1:J16" xr:uid="{ADDAA7C3-8992-47A2-86C7-7945438D7830}"/>
  <tableColumns count="9">
    <tableColumn id="1" xr3:uid="{4ABE1E0B-2321-402D-B77C-D35A85000D90}" name="Codigo"/>
    <tableColumn id="2" xr3:uid="{85DA45E6-DF47-4D7E-8852-828F57868EED}" name="Descripcion"/>
    <tableColumn id="3" xr3:uid="{2F7F3367-F8E5-4640-AE13-CFE343CF9EAE}" name="Categoria"/>
    <tableColumn id="6" xr3:uid="{8AD67E95-33F4-4917-8010-B9B9BE92932A}" name="Marca"/>
    <tableColumn id="4" xr3:uid="{209B8B63-279F-4DFD-BA4F-BF7824FD5CDB}" name="Precio" dataDxfId="159" dataCellStyle="Moneda"/>
    <tableColumn id="5" xr3:uid="{7135D432-720D-459D-9195-F6688B903E57}" name="Stock" dataDxfId="158"/>
    <tableColumn id="7" xr3:uid="{43CB8A00-16A8-4DE1-8CC2-D454393D663A}" name="Vendidos" dataDxfId="157" dataCellStyle="Millares">
      <calculatedColumnFormula>SUMIF(tabla_ventas[Producto],tabla_productos[[#This Row],[Codigo]],tabla_ventas[Cantidad])</calculatedColumnFormula>
    </tableColumn>
    <tableColumn id="8" xr3:uid="{C1CAEC58-591D-448C-B413-2A66BEC55BAE}" name="Recaudado" dataCellStyle="Moneda">
      <calculatedColumnFormula>SUMIF(tabla_ventas[Producto],tabla_productos[[#This Row],[Codigo]],tabla_ventas[Total])</calculatedColumnFormula>
    </tableColumn>
    <tableColumn id="9" xr3:uid="{E2E7E38B-5414-4035-87E8-0566B43B01AD}" name="ventas" dataDxfId="156">
      <calculatedColumnFormula>COUNTIF(tabla_ventas[Producto],tabla_productos[[#This Row],[Codigo]])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7BE9E3-1F6B-4C52-A712-203172B63C6D}" name="tabla_ventas" displayName="tabla_ventas" comment="Ventas de Productos por Vendedores" ref="B1:H25" headerRowDxfId="155" dataDxfId="154" totalsRowDxfId="152" tableBorderDxfId="153">
  <autoFilter ref="B1:H25" xr:uid="{5B7BE9E3-1F6B-4C52-A712-203172B63C6D}"/>
  <sortState xmlns:xlrd2="http://schemas.microsoft.com/office/spreadsheetml/2017/richdata2" ref="B2:H20">
    <sortCondition ref="B1:B20"/>
  </sortState>
  <tableColumns count="7">
    <tableColumn id="1" xr3:uid="{31B77BF3-F71D-4B5D-AF5C-A28560ECDE55}" name="Factura" totalsRowLabel="Total" dataDxfId="151" totalsRowDxfId="150"/>
    <tableColumn id="2" xr3:uid="{4C658C36-B580-4A21-A06E-0956BA203137}" name="Empleado" totalsRowFunction="count" dataDxfId="149" totalsRowDxfId="148"/>
    <tableColumn id="3" xr3:uid="{A5C8E11D-5A43-413B-9D24-FAD6A6614655}" name="Producto" dataDxfId="147" totalsRowDxfId="146"/>
    <tableColumn id="4" xr3:uid="{3BDB2312-175F-4B61-B51F-A882480AF1A8}" name="Cantidad" totalsRowFunction="average" dataDxfId="145" totalsRowDxfId="144"/>
    <tableColumn id="5" xr3:uid="{E161D830-809F-44B0-A151-6F8E4CE0FCD6}" name="Precio" totalsRowFunction="average" dataDxfId="143" totalsRowDxfId="142" dataCellStyle="Moneda"/>
    <tableColumn id="6" xr3:uid="{D9028267-BECA-428C-9F0D-876734E3BF87}" name="Total" totalsRowFunction="average" dataDxfId="141" totalsRowDxfId="140">
      <calculatedColumnFormula>tabla_ventas[[#This Row],[Cantidad]]*tabla_ventas[[#This Row],[Precio]]</calculatedColumnFormula>
    </tableColumn>
    <tableColumn id="7" xr3:uid="{160839D5-6282-48BE-AE1D-FFDF6A0A18B3}" name="final" totalsRowFunction="sum" dataDxfId="139" totalsRowDxfId="138" dataCellStyle="Moneda">
      <calculatedColumnFormula>tabla_ventas[[#This Row],[Total]]*iva_ventas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docs\atajos-teclado.do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ristiandracedo@hotmail.com?subject=Consulta%20EXCEL" TargetMode="External"/><Relationship Id="rId1" Type="http://schemas.openxmlformats.org/officeDocument/2006/relationships/hyperlink" Target="contabilidad.xlsx" TargetMode="External"/><Relationship Id="rId6" Type="http://schemas.openxmlformats.org/officeDocument/2006/relationships/hyperlink" Target="introduccion.xlsx" TargetMode="External"/><Relationship Id="rId5" Type="http://schemas.openxmlformats.org/officeDocument/2006/relationships/hyperlink" Target="https://github.com/c215714n/EducacionIT/tree/excel-mjv13" TargetMode="External"/><Relationship Id="rId4" Type="http://schemas.openxmlformats.org/officeDocument/2006/relationships/hyperlink" Target="https://alumni.educa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CBFC-728A-4FAD-AF56-CCF163A7BEB8}">
  <dimension ref="A1:H4"/>
  <sheetViews>
    <sheetView zoomScale="130" zoomScaleNormal="130" zoomScaleSheetLayoutView="50" workbookViewId="0">
      <selection sqref="A1:A2"/>
    </sheetView>
  </sheetViews>
  <sheetFormatPr baseColWidth="10" defaultRowHeight="15" x14ac:dyDescent="0.25"/>
  <cols>
    <col min="1" max="1" width="3.7109375" bestFit="1" customWidth="1"/>
    <col min="8" max="8" width="17.140625" customWidth="1"/>
  </cols>
  <sheetData>
    <row r="1" spans="1:8" ht="60" customHeight="1" x14ac:dyDescent="0.25">
      <c r="A1" s="71" t="s">
        <v>126</v>
      </c>
      <c r="H1" s="41"/>
    </row>
    <row r="2" spans="1:8" x14ac:dyDescent="0.25">
      <c r="A2" s="71"/>
      <c r="B2" s="44" t="s">
        <v>69</v>
      </c>
      <c r="C2" s="44" t="s">
        <v>128</v>
      </c>
      <c r="D2" s="44" t="s">
        <v>137</v>
      </c>
      <c r="E2" s="44" t="s">
        <v>129</v>
      </c>
      <c r="F2" s="44" t="s">
        <v>130</v>
      </c>
      <c r="G2" s="44" t="s">
        <v>67</v>
      </c>
      <c r="H2" s="41"/>
    </row>
    <row r="3" spans="1:8" ht="60" customHeight="1" x14ac:dyDescent="0.25">
      <c r="A3" s="71" t="s">
        <v>127</v>
      </c>
      <c r="B3" s="21"/>
      <c r="C3" s="21"/>
      <c r="D3" s="21"/>
      <c r="E3" s="21"/>
      <c r="F3" s="21"/>
      <c r="G3" s="21"/>
      <c r="H3" s="41"/>
    </row>
    <row r="4" spans="1:8" x14ac:dyDescent="0.25">
      <c r="A4" s="71"/>
      <c r="B4" s="44" t="s">
        <v>131</v>
      </c>
      <c r="C4" s="44" t="s">
        <v>132</v>
      </c>
      <c r="D4" s="44" t="s">
        <v>138</v>
      </c>
      <c r="E4" s="44" t="s">
        <v>133</v>
      </c>
      <c r="F4" s="44" t="s">
        <v>134</v>
      </c>
      <c r="G4" s="44" t="s">
        <v>135</v>
      </c>
      <c r="H4" s="41"/>
    </row>
  </sheetData>
  <mergeCells count="2">
    <mergeCell ref="A1:A2"/>
    <mergeCell ref="A3:A4"/>
  </mergeCells>
  <hyperlinks>
    <hyperlink ref="B2" location="empleados!A1" display="Empleados" xr:uid="{8FD0F67B-0881-439C-9B4F-54C2A8484AA9}"/>
    <hyperlink ref="C2" location="presentismo!A1" display="Asistencia" xr:uid="{471CC1BE-FEBC-4201-B514-4678289F0B6C}"/>
    <hyperlink ref="E2" location="productos!A1" display="Productos" xr:uid="{233EA16B-6356-446D-B3AB-846315C8DBA2}"/>
    <hyperlink ref="F2" location="ventas!A1" display="Ventas" xr:uid="{2A2E4FDB-9636-456E-8F57-637A5722BD88}"/>
    <hyperlink ref="G2" location="estadisticas!A1" display="Estadisticas" xr:uid="{9AA00A8F-A601-4768-8A9A-4160D2C4C3C7}"/>
    <hyperlink ref="B4" r:id="rId1" xr:uid="{573A89D0-82F4-4530-BE07-49F82FCB2F4D}"/>
    <hyperlink ref="C4" r:id="rId2" xr:uid="{2C0E0674-11CA-43DD-8164-972B84133705}"/>
    <hyperlink ref="E4" r:id="rId3" xr:uid="{C4A47B32-ED93-43FC-932A-E249AECE7D9F}"/>
    <hyperlink ref="F4" r:id="rId4" xr:uid="{93934089-63E0-4589-9A50-51B80B978C11}"/>
    <hyperlink ref="G4" r:id="rId5" xr:uid="{12B07B36-8EA2-46DA-BB99-D9FA342E582F}"/>
    <hyperlink ref="D2" location="Datos!A1" display="Datos" xr:uid="{E18D4BFF-FE9D-4737-9DAE-DD971379E1F0}"/>
    <hyperlink ref="D4" r:id="rId6" xr:uid="{F43857B0-7367-48EA-A3C3-68B996FAA8A6}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zoomScale="145" zoomScaleNormal="145" workbookViewId="0">
      <pane ySplit="1" topLeftCell="A2" activePane="bottomLeft" state="frozen"/>
      <selection pane="bottomLeft" activeCell="I15" sqref="I15"/>
    </sheetView>
  </sheetViews>
  <sheetFormatPr baseColWidth="10" defaultRowHeight="15" x14ac:dyDescent="0.25"/>
  <cols>
    <col min="1" max="1" width="11.5703125" customWidth="1"/>
    <col min="2" max="2" width="4.7109375" customWidth="1"/>
    <col min="3" max="3" width="10.5703125" hidden="1" customWidth="1"/>
    <col min="4" max="4" width="11" style="1" hidden="1" customWidth="1"/>
    <col min="5" max="5" width="12" style="1" customWidth="1"/>
    <col min="6" max="6" width="7.5703125" bestFit="1" customWidth="1"/>
    <col min="7" max="7" width="14" bestFit="1" customWidth="1"/>
    <col min="8" max="8" width="5.7109375" style="21" customWidth="1"/>
    <col min="9" max="9" width="10.7109375" style="22" bestFit="1" customWidth="1"/>
    <col min="10" max="10" width="5.42578125" style="21" customWidth="1"/>
    <col min="11" max="11" width="12.85546875" bestFit="1" customWidth="1"/>
    <col min="12" max="12" width="2.85546875" customWidth="1"/>
    <col min="13" max="13" width="9" bestFit="1" customWidth="1"/>
    <col min="14" max="14" width="7.42578125" bestFit="1" customWidth="1"/>
    <col min="15" max="15" width="5.28515625" bestFit="1" customWidth="1"/>
    <col min="16" max="16" width="4.85546875" bestFit="1" customWidth="1"/>
    <col min="17" max="17" width="4.140625" bestFit="1" customWidth="1"/>
    <col min="18" max="18" width="5.140625" bestFit="1" customWidth="1"/>
    <col min="19" max="19" width="4.5703125" bestFit="1" customWidth="1"/>
    <col min="20" max="20" width="4.140625" bestFit="1" customWidth="1"/>
  </cols>
  <sheetData>
    <row r="1" spans="1:20" x14ac:dyDescent="0.25">
      <c r="A1" s="42" t="s">
        <v>136</v>
      </c>
      <c r="B1" t="s">
        <v>2</v>
      </c>
      <c r="C1" t="s">
        <v>1</v>
      </c>
      <c r="D1" t="s">
        <v>0</v>
      </c>
      <c r="E1" s="1" t="s">
        <v>3</v>
      </c>
      <c r="F1" s="1" t="s">
        <v>4</v>
      </c>
      <c r="G1" t="s">
        <v>5</v>
      </c>
      <c r="H1" s="21" t="s">
        <v>88</v>
      </c>
      <c r="I1" s="22" t="s">
        <v>89</v>
      </c>
      <c r="J1" s="21" t="s">
        <v>90</v>
      </c>
      <c r="K1" t="s">
        <v>6</v>
      </c>
      <c r="M1" s="6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8" t="s">
        <v>87</v>
      </c>
    </row>
    <row r="2" spans="1:20" x14ac:dyDescent="0.25">
      <c r="B2">
        <v>1</v>
      </c>
      <c r="C2" t="s">
        <v>8</v>
      </c>
      <c r="D2" t="s">
        <v>7</v>
      </c>
      <c r="E2" s="1">
        <v>33346</v>
      </c>
      <c r="F2" s="20">
        <f ca="1">año_actual-YEAR(tabla_empleados[[#This Row],[Nacimiento]])</f>
        <v>31</v>
      </c>
      <c r="G2" t="s">
        <v>9</v>
      </c>
      <c r="H2" s="21" t="str">
        <f>LEFT(tabla_empleados[[#This Row],[CUIL]],2)</f>
        <v>20</v>
      </c>
      <c r="I2" s="22" t="str">
        <f>MID(tabla_empleados[[#This Row],[CUIL]],4,8)</f>
        <v>35336336</v>
      </c>
      <c r="J2" s="21" t="str">
        <f>RIGHT(tabla_empleados[[#This Row],[CUIL]],1)</f>
        <v>5</v>
      </c>
      <c r="K2" t="s">
        <v>10</v>
      </c>
      <c r="M2" s="38">
        <f ca="1">TODAY()</f>
        <v>44911</v>
      </c>
      <c r="N2" s="39">
        <f ca="1">NOW()</f>
        <v>44911.707277777779</v>
      </c>
      <c r="O2" s="5">
        <f ca="1">YEAR(fecha_actual)</f>
        <v>2022</v>
      </c>
      <c r="P2" s="5">
        <f ca="1">MONTH(fecha_actual)</f>
        <v>12</v>
      </c>
      <c r="Q2" s="5">
        <f ca="1">DAY(fecha_actual)</f>
        <v>16</v>
      </c>
      <c r="R2" s="5">
        <f ca="1">HOUR(N2)</f>
        <v>16</v>
      </c>
      <c r="S2" s="5">
        <f ca="1">MINUTE(N2)</f>
        <v>58</v>
      </c>
      <c r="T2" s="16">
        <f ca="1">SECOND(N2)</f>
        <v>29</v>
      </c>
    </row>
    <row r="3" spans="1:20" x14ac:dyDescent="0.25">
      <c r="B3">
        <v>2</v>
      </c>
      <c r="C3" t="s">
        <v>11</v>
      </c>
      <c r="D3" t="s">
        <v>7</v>
      </c>
      <c r="E3" s="1">
        <v>34254</v>
      </c>
      <c r="F3" s="20">
        <f ca="1">año_actual-YEAR(tabla_empleados[[#This Row],[Nacimiento]])</f>
        <v>29</v>
      </c>
      <c r="G3" t="s">
        <v>12</v>
      </c>
      <c r="H3" s="21" t="str">
        <f>LEFT(tabla_empleados[[#This Row],[CUIL]],2)</f>
        <v>20</v>
      </c>
      <c r="I3" s="22" t="str">
        <f>MID(tabla_empleados[[#This Row],[CUIL]],4,8)</f>
        <v>38883443</v>
      </c>
      <c r="J3" s="21" t="str">
        <f>RIGHT(tabla_empleados[[#This Row],[CUIL]],1)</f>
        <v>5</v>
      </c>
      <c r="K3" t="s">
        <v>13</v>
      </c>
    </row>
    <row r="4" spans="1:20" x14ac:dyDescent="0.25">
      <c r="B4">
        <v>3</v>
      </c>
      <c r="C4" t="s">
        <v>15</v>
      </c>
      <c r="D4" t="s">
        <v>14</v>
      </c>
      <c r="E4" s="1">
        <v>36613</v>
      </c>
      <c r="F4" s="20">
        <f ca="1">año_actual-YEAR(tabla_empleados[[#This Row],[Nacimiento]])</f>
        <v>22</v>
      </c>
      <c r="G4" t="s">
        <v>16</v>
      </c>
      <c r="H4" s="21" t="str">
        <f>LEFT(tabla_empleados[[#This Row],[CUIL]],2)</f>
        <v>27</v>
      </c>
      <c r="I4" s="22" t="str">
        <f>MID(tabla_empleados[[#This Row],[CUIL]],4,8)</f>
        <v>91028301</v>
      </c>
      <c r="J4" s="21" t="str">
        <f>RIGHT(tabla_empleados[[#This Row],[CUIL]],1)</f>
        <v>3</v>
      </c>
      <c r="K4" t="s">
        <v>17</v>
      </c>
    </row>
    <row r="5" spans="1:20" x14ac:dyDescent="0.25">
      <c r="B5">
        <v>4</v>
      </c>
      <c r="C5" t="s">
        <v>19</v>
      </c>
      <c r="D5" t="s">
        <v>18</v>
      </c>
      <c r="E5" s="1">
        <v>31612</v>
      </c>
      <c r="F5" s="20">
        <f ca="1">año_actual-YEAR(tabla_empleados[[#This Row],[Nacimiento]])</f>
        <v>36</v>
      </c>
      <c r="G5" t="s">
        <v>20</v>
      </c>
      <c r="H5" s="21" t="str">
        <f>LEFT(tabla_empleados[[#This Row],[CUIL]],2)</f>
        <v>20</v>
      </c>
      <c r="I5" s="22" t="str">
        <f>MID(tabla_empleados[[#This Row],[CUIL]],4,8)</f>
        <v>18273913</v>
      </c>
      <c r="J5" s="21" t="str">
        <f>RIGHT(tabla_empleados[[#This Row],[CUIL]],1)</f>
        <v>5</v>
      </c>
      <c r="K5" t="s">
        <v>21</v>
      </c>
    </row>
    <row r="6" spans="1:20" x14ac:dyDescent="0.25">
      <c r="B6">
        <v>5</v>
      </c>
      <c r="C6" t="s">
        <v>23</v>
      </c>
      <c r="D6" t="s">
        <v>22</v>
      </c>
      <c r="E6" s="1">
        <v>36453</v>
      </c>
      <c r="F6" s="20">
        <f ca="1">año_actual-YEAR(tabla_empleados[[#This Row],[Nacimiento]])</f>
        <v>23</v>
      </c>
      <c r="G6" t="s">
        <v>24</v>
      </c>
      <c r="H6" s="21" t="str">
        <f>LEFT(tabla_empleados[[#This Row],[CUIL]],2)</f>
        <v>27</v>
      </c>
      <c r="I6" s="22" t="str">
        <f>MID(tabla_empleados[[#This Row],[CUIL]],4,8)</f>
        <v>19023885</v>
      </c>
      <c r="J6" s="21" t="str">
        <f>RIGHT(tabla_empleados[[#This Row],[CUIL]],1)</f>
        <v>2</v>
      </c>
      <c r="K6" t="s">
        <v>25</v>
      </c>
    </row>
    <row r="7" spans="1:20" x14ac:dyDescent="0.25">
      <c r="B7">
        <v>6</v>
      </c>
      <c r="C7" t="s">
        <v>27</v>
      </c>
      <c r="D7" t="s">
        <v>26</v>
      </c>
      <c r="E7" s="1">
        <v>37265</v>
      </c>
      <c r="F7" s="20">
        <f ca="1">año_actual-YEAR(tabla_empleados[[#This Row],[Nacimiento]])</f>
        <v>20</v>
      </c>
      <c r="G7" t="s">
        <v>28</v>
      </c>
      <c r="H7" s="21" t="str">
        <f>LEFT(tabla_empleados[[#This Row],[CUIL]],2)</f>
        <v>27</v>
      </c>
      <c r="I7" s="22" t="str">
        <f>MID(tabla_empleados[[#This Row],[CUIL]],4,8)</f>
        <v>40279384</v>
      </c>
      <c r="J7" s="21" t="str">
        <f>RIGHT(tabla_empleados[[#This Row],[CUIL]],1)</f>
        <v>2</v>
      </c>
      <c r="K7" t="s">
        <v>29</v>
      </c>
    </row>
    <row r="8" spans="1:20" x14ac:dyDescent="0.25">
      <c r="B8">
        <v>7</v>
      </c>
      <c r="C8" t="s">
        <v>31</v>
      </c>
      <c r="D8" t="s">
        <v>30</v>
      </c>
      <c r="E8" s="1">
        <v>30529</v>
      </c>
      <c r="F8" s="20">
        <f ca="1">año_actual-YEAR(tabla_empleados[[#This Row],[Nacimiento]])</f>
        <v>39</v>
      </c>
      <c r="G8" t="s">
        <v>32</v>
      </c>
      <c r="H8" s="21" t="str">
        <f>LEFT(tabla_empleados[[#This Row],[CUIL]],2)</f>
        <v>20</v>
      </c>
      <c r="I8" s="22" t="str">
        <f>MID(tabla_empleados[[#This Row],[CUIL]],4,8)</f>
        <v>84973329</v>
      </c>
      <c r="J8" s="21" t="str">
        <f>RIGHT(tabla_empleados[[#This Row],[CUIL]],1)</f>
        <v>3</v>
      </c>
      <c r="K8" t="s">
        <v>33</v>
      </c>
    </row>
    <row r="9" spans="1:20" x14ac:dyDescent="0.25">
      <c r="B9">
        <v>8</v>
      </c>
      <c r="C9" t="s">
        <v>35</v>
      </c>
      <c r="D9" t="s">
        <v>34</v>
      </c>
      <c r="E9" s="1">
        <v>34057</v>
      </c>
      <c r="F9" s="20">
        <f ca="1">año_actual-YEAR(tabla_empleados[[#This Row],[Nacimiento]])</f>
        <v>29</v>
      </c>
      <c r="G9" t="s">
        <v>36</v>
      </c>
      <c r="H9" s="21" t="str">
        <f>LEFT(tabla_empleados[[#This Row],[CUIL]],2)</f>
        <v>20</v>
      </c>
      <c r="I9" s="22" t="str">
        <f>MID(tabla_empleados[[#This Row],[CUIL]],4,8)</f>
        <v>37891223</v>
      </c>
      <c r="J9" s="21" t="str">
        <f>RIGHT(tabla_empleados[[#This Row],[CUIL]],1)</f>
        <v>2</v>
      </c>
      <c r="K9" t="s">
        <v>37</v>
      </c>
    </row>
    <row r="11" spans="1:20" x14ac:dyDescent="0.25">
      <c r="D11"/>
    </row>
    <row r="12" spans="1:20" x14ac:dyDescent="0.25">
      <c r="D12"/>
    </row>
    <row r="13" spans="1:20" x14ac:dyDescent="0.25">
      <c r="D13"/>
    </row>
    <row r="14" spans="1:20" x14ac:dyDescent="0.25">
      <c r="D14"/>
    </row>
    <row r="15" spans="1:20" x14ac:dyDescent="0.25">
      <c r="D15"/>
    </row>
    <row r="16" spans="1:20" x14ac:dyDescent="0.25">
      <c r="D16"/>
    </row>
    <row r="17" spans="3:4" x14ac:dyDescent="0.25">
      <c r="D17"/>
    </row>
    <row r="18" spans="3:4" x14ac:dyDescent="0.25">
      <c r="D18"/>
    </row>
    <row r="19" spans="3:4" x14ac:dyDescent="0.25">
      <c r="C19" t="str">
        <f t="shared" ref="C19:D19" si="0">TRIM(C10)</f>
        <v/>
      </c>
      <c r="D19" t="str">
        <f t="shared" si="0"/>
        <v/>
      </c>
    </row>
  </sheetData>
  <phoneticPr fontId="4" type="noConversion"/>
  <hyperlinks>
    <hyperlink ref="A1" location="menu!A1" display="Volver" xr:uid="{FE5B36A2-D3B9-4273-A7C3-307C371AC316}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68CA-EC1F-4C28-88F2-7559A5997862}">
  <dimension ref="A1:N9"/>
  <sheetViews>
    <sheetView zoomScale="145" zoomScaleNormal="145" workbookViewId="0">
      <selection activeCell="I5" sqref="I5"/>
    </sheetView>
  </sheetViews>
  <sheetFormatPr baseColWidth="10" defaultRowHeight="15" x14ac:dyDescent="0.25"/>
  <cols>
    <col min="1" max="1" width="10.7109375" style="45" customWidth="1"/>
    <col min="2" max="2" width="1" customWidth="1"/>
    <col min="3" max="3" width="9.42578125" bestFit="1" customWidth="1"/>
    <col min="4" max="4" width="10.5703125" bestFit="1" customWidth="1"/>
    <col min="5" max="5" width="11" bestFit="1" customWidth="1"/>
    <col min="6" max="6" width="3" customWidth="1"/>
    <col min="7" max="7" width="3.7109375" customWidth="1"/>
    <col min="8" max="8" width="9.42578125" bestFit="1" customWidth="1"/>
    <col min="9" max="9" width="14.85546875" bestFit="1" customWidth="1"/>
    <col min="10" max="10" width="2.85546875" customWidth="1"/>
    <col min="11" max="11" width="11.42578125" hidden="1" customWidth="1"/>
    <col min="12" max="12" width="11.140625" bestFit="1" customWidth="1"/>
    <col min="13" max="13" width="7.140625" bestFit="1" customWidth="1"/>
    <col min="14" max="14" width="14.85546875" bestFit="1" customWidth="1"/>
  </cols>
  <sheetData>
    <row r="1" spans="1:14" x14ac:dyDescent="0.25">
      <c r="A1" s="42" t="s">
        <v>136</v>
      </c>
      <c r="B1" t="s">
        <v>45</v>
      </c>
      <c r="C1" t="s">
        <v>2</v>
      </c>
      <c r="D1" t="s">
        <v>1</v>
      </c>
      <c r="E1" t="s">
        <v>0</v>
      </c>
      <c r="F1" t="s">
        <v>93</v>
      </c>
      <c r="G1" t="s">
        <v>94</v>
      </c>
      <c r="H1" t="s">
        <v>130</v>
      </c>
      <c r="I1" t="s">
        <v>48</v>
      </c>
      <c r="K1" t="s">
        <v>91</v>
      </c>
      <c r="L1" s="6" t="s">
        <v>67</v>
      </c>
      <c r="M1" s="7" t="s">
        <v>130</v>
      </c>
      <c r="N1" s="8" t="s">
        <v>48</v>
      </c>
    </row>
    <row r="2" spans="1:14" x14ac:dyDescent="0.25">
      <c r="B2" t="str">
        <f>TRIM(presentismo!B2)</f>
        <v>Racedo, Cristian</v>
      </c>
      <c r="C2">
        <v>1</v>
      </c>
      <c r="D2" t="str">
        <f>RIGHT(tabla_datos[[#This Row],[Empleado]],tabla_datos[[#This Row],[largo]]-(tabla_datos[[#This Row],[posicion]] + 1))</f>
        <v>Cristian</v>
      </c>
      <c r="E2" t="str">
        <f>LEFT(tabla_datos[[#This Row],[Empleado]],tabla_datos[[#This Row],[posicion]]-1)</f>
        <v>Racedo</v>
      </c>
      <c r="F2">
        <f>FIND(char,tabla_datos[[#This Row],[Empleado]])</f>
        <v>7</v>
      </c>
      <c r="G2">
        <f>LEN(tabla_datos[[#This Row],[Empleado]])</f>
        <v>16</v>
      </c>
      <c r="H2" s="47">
        <f>COUNTIF(tabla_ventas[Empleado],tabla_datos[[#This Row],[Codigo]])</f>
        <v>5</v>
      </c>
      <c r="I2" s="46">
        <f>SUMIF(tabla_ventas[Empleado],tabla_datos[[#This Row],[Codigo]],tabla_ventas[Total])</f>
        <v>1339500</v>
      </c>
      <c r="K2" t="s">
        <v>92</v>
      </c>
      <c r="L2" s="9" t="s">
        <v>171</v>
      </c>
      <c r="M2" s="10">
        <f>COUNT(tabla_datos[Ventas])</f>
        <v>8</v>
      </c>
      <c r="N2" s="29">
        <f>COUNT(tabla_datos[Total])</f>
        <v>8</v>
      </c>
    </row>
    <row r="3" spans="1:14" x14ac:dyDescent="0.25">
      <c r="B3" t="str">
        <f>TRIM(presentismo!B3)</f>
        <v>Racedo, Abel</v>
      </c>
      <c r="C3">
        <v>2</v>
      </c>
      <c r="D3" t="str">
        <f>RIGHT(tabla_datos[[#This Row],[Empleado]],tabla_datos[[#This Row],[largo]]-(tabla_datos[[#This Row],[posicion]] + 1))</f>
        <v>Abel</v>
      </c>
      <c r="E3" t="str">
        <f>LEFT(tabla_datos[[#This Row],[Empleado]],tabla_datos[[#This Row],[posicion]]-1)</f>
        <v>Racedo</v>
      </c>
      <c r="F3">
        <f>FIND(char,tabla_datos[[#This Row],[Empleado]])</f>
        <v>7</v>
      </c>
      <c r="G3">
        <f>LEN(tabla_datos[[#This Row],[Empleado]])</f>
        <v>12</v>
      </c>
      <c r="H3" s="47">
        <f>COUNTIF(tabla_ventas[Empleado],tabla_datos[[#This Row],[Codigo]])</f>
        <v>4</v>
      </c>
      <c r="I3" s="46">
        <f>SUMIF(tabla_ventas[Empleado],tabla_datos[[#This Row],[Codigo]],tabla_ventas[Total])</f>
        <v>1146749.98</v>
      </c>
      <c r="L3" s="12" t="s">
        <v>168</v>
      </c>
      <c r="M3" s="13">
        <f>SUM(tabla_datos[Ventas])</f>
        <v>22</v>
      </c>
      <c r="N3" s="51">
        <f>SUM(tabla_datos[Total])</f>
        <v>5360469.9399999995</v>
      </c>
    </row>
    <row r="4" spans="1:14" x14ac:dyDescent="0.25">
      <c r="B4" t="str">
        <f>TRIM(presentismo!B4)</f>
        <v>Maldonado, Alejandra</v>
      </c>
      <c r="C4">
        <v>3</v>
      </c>
      <c r="D4" t="str">
        <f>RIGHT(tabla_datos[[#This Row],[Empleado]],tabla_datos[[#This Row],[largo]]-(tabla_datos[[#This Row],[posicion]] + 1))</f>
        <v>Alejandra</v>
      </c>
      <c r="E4" t="str">
        <f>LEFT(tabla_datos[[#This Row],[Empleado]],tabla_datos[[#This Row],[posicion]]-1)</f>
        <v>Maldonado</v>
      </c>
      <c r="F4">
        <f>FIND(char,tabla_datos[[#This Row],[Empleado]])</f>
        <v>10</v>
      </c>
      <c r="G4">
        <f>LEN(tabla_datos[[#This Row],[Empleado]])</f>
        <v>20</v>
      </c>
      <c r="H4" s="47">
        <f>COUNTIF(tabla_ventas[Empleado],tabla_datos[[#This Row],[Codigo]])</f>
        <v>1</v>
      </c>
      <c r="I4" s="46">
        <f>SUMIF(tabla_ventas[Empleado],tabla_datos[[#This Row],[Codigo]],tabla_ventas[Total])</f>
        <v>168000</v>
      </c>
      <c r="L4" s="9" t="s">
        <v>170</v>
      </c>
      <c r="M4" s="10">
        <f>MAX(tabla_datos[Ventas])</f>
        <v>5</v>
      </c>
      <c r="N4" s="11">
        <f>MAX(tabla_datos[Total])</f>
        <v>1582119.96</v>
      </c>
    </row>
    <row r="5" spans="1:14" x14ac:dyDescent="0.25">
      <c r="B5" t="str">
        <f>TRIM(presentismo!B5)</f>
        <v>Juarez, Alberto</v>
      </c>
      <c r="C5">
        <v>4</v>
      </c>
      <c r="D5" t="str">
        <f>RIGHT(tabla_datos[[#This Row],[Empleado]],tabla_datos[[#This Row],[largo]]-(tabla_datos[[#This Row],[posicion]] + 1))</f>
        <v>Alberto</v>
      </c>
      <c r="E5" t="str">
        <f>LEFT(tabla_datos[[#This Row],[Empleado]],tabla_datos[[#This Row],[posicion]]-1)</f>
        <v>Juarez</v>
      </c>
      <c r="F5">
        <f>FIND(char,tabla_datos[[#This Row],[Empleado]])</f>
        <v>7</v>
      </c>
      <c r="G5">
        <f>LEN(tabla_datos[[#This Row],[Empleado]])</f>
        <v>15</v>
      </c>
      <c r="H5" s="47">
        <f>COUNTIF(tabla_ventas[Empleado],tabla_datos[[#This Row],[Codigo]])</f>
        <v>3</v>
      </c>
      <c r="I5" s="46">
        <f>SUMIF(tabla_ventas[Empleado],tabla_datos[[#This Row],[Codigo]],tabla_ventas[Total])</f>
        <v>1582119.96</v>
      </c>
      <c r="L5" s="12" t="s">
        <v>169</v>
      </c>
      <c r="M5" s="13">
        <f>MIN(tabla_datos[Ventas])</f>
        <v>1</v>
      </c>
      <c r="N5" s="14">
        <f>MIN(tabla_datos[Total])</f>
        <v>112000</v>
      </c>
    </row>
    <row r="6" spans="1:14" x14ac:dyDescent="0.25">
      <c r="B6" t="str">
        <f>TRIM(presentismo!B6)</f>
        <v>Martinez, Mariana</v>
      </c>
      <c r="C6">
        <v>5</v>
      </c>
      <c r="D6" t="str">
        <f>RIGHT(tabla_datos[[#This Row],[Empleado]],tabla_datos[[#This Row],[largo]]-(tabla_datos[[#This Row],[posicion]] + 1))</f>
        <v>Mariana</v>
      </c>
      <c r="E6" t="str">
        <f>LEFT(tabla_datos[[#This Row],[Empleado]],tabla_datos[[#This Row],[posicion]]-1)</f>
        <v>Martinez</v>
      </c>
      <c r="F6">
        <f>FIND(char,tabla_datos[[#This Row],[Empleado]])</f>
        <v>9</v>
      </c>
      <c r="G6">
        <f>LEN(tabla_datos[[#This Row],[Empleado]])</f>
        <v>17</v>
      </c>
      <c r="H6" s="47">
        <f>COUNTIF(tabla_ventas[Empleado],tabla_datos[[#This Row],[Codigo]])</f>
        <v>3</v>
      </c>
      <c r="I6" s="46">
        <f>SUMIF(tabla_ventas[Empleado],tabla_datos[[#This Row],[Codigo]],tabla_ventas[Total])</f>
        <v>421100</v>
      </c>
      <c r="L6" s="9" t="s">
        <v>166</v>
      </c>
      <c r="M6" s="52">
        <f>AVERAGE(tabla_datos[Ventas])</f>
        <v>2.75</v>
      </c>
      <c r="N6" s="11">
        <f>AVERAGE(tabla_datos[Total])</f>
        <v>670058.74249999993</v>
      </c>
    </row>
    <row r="7" spans="1:14" x14ac:dyDescent="0.25">
      <c r="B7" t="str">
        <f>TRIM(presentismo!B7)</f>
        <v>Gomez, Graciela</v>
      </c>
      <c r="C7">
        <v>6</v>
      </c>
      <c r="D7" t="str">
        <f>RIGHT(tabla_datos[[#This Row],[Empleado]],tabla_datos[[#This Row],[largo]]-(tabla_datos[[#This Row],[posicion]] + 1))</f>
        <v>Graciela</v>
      </c>
      <c r="E7" t="str">
        <f>LEFT(tabla_datos[[#This Row],[Empleado]],tabla_datos[[#This Row],[posicion]]-1)</f>
        <v>Gomez</v>
      </c>
      <c r="F7">
        <f>FIND(char,tabla_datos[[#This Row],[Empleado]])</f>
        <v>6</v>
      </c>
      <c r="G7">
        <f>LEN(tabla_datos[[#This Row],[Empleado]])</f>
        <v>15</v>
      </c>
      <c r="H7" s="47">
        <f>COUNTIF(tabla_ventas[Empleado],tabla_datos[[#This Row],[Codigo]])</f>
        <v>3</v>
      </c>
      <c r="I7" s="46">
        <f>SUMIF(tabla_ventas[Empleado],tabla_datos[[#This Row],[Codigo]],tabla_ventas[Total])</f>
        <v>344500</v>
      </c>
      <c r="L7" s="17" t="s">
        <v>167</v>
      </c>
      <c r="M7" s="18">
        <f>MEDIAN(tabla_datos[Ventas])</f>
        <v>3</v>
      </c>
      <c r="N7" s="53">
        <f>MEDIAN(tabla_datos[Total])</f>
        <v>382800</v>
      </c>
    </row>
    <row r="8" spans="1:14" x14ac:dyDescent="0.25">
      <c r="B8" t="str">
        <f>TRIM(presentismo!B8)</f>
        <v>Garcia, Demetrio</v>
      </c>
      <c r="C8">
        <v>7</v>
      </c>
      <c r="D8" t="str">
        <f>RIGHT(tabla_datos[[#This Row],[Empleado]],tabla_datos[[#This Row],[largo]]-(tabla_datos[[#This Row],[posicion]] + 1))</f>
        <v>Demetrio</v>
      </c>
      <c r="E8" t="str">
        <f>LEFT(tabla_datos[[#This Row],[Empleado]],tabla_datos[[#This Row],[posicion]]-1)</f>
        <v>Garcia</v>
      </c>
      <c r="F8">
        <f>FIND(char,tabla_datos[[#This Row],[Empleado]])</f>
        <v>7</v>
      </c>
      <c r="G8">
        <f>LEN(tabla_datos[[#This Row],[Empleado]])</f>
        <v>16</v>
      </c>
      <c r="H8" s="47">
        <f>COUNTIF(tabla_ventas[Empleado],tabla_datos[[#This Row],[Codigo]])</f>
        <v>1</v>
      </c>
      <c r="I8" s="46">
        <f>SUMIF(tabla_ventas[Empleado],tabla_datos[[#This Row],[Codigo]],tabla_ventas[Total])</f>
        <v>112000</v>
      </c>
    </row>
    <row r="9" spans="1:14" x14ac:dyDescent="0.25">
      <c r="B9" t="str">
        <f>TRIM(presentismo!B9)</f>
        <v>Cabello, Camila</v>
      </c>
      <c r="C9">
        <v>8</v>
      </c>
      <c r="D9" t="str">
        <f>RIGHT(tabla_datos[[#This Row],[Empleado]],tabla_datos[[#This Row],[largo]]-(tabla_datos[[#This Row],[posicion]] + 1))</f>
        <v>Camila</v>
      </c>
      <c r="E9" t="str">
        <f>LEFT(tabla_datos[[#This Row],[Empleado]],tabla_datos[[#This Row],[posicion]]-1)</f>
        <v>Cabello</v>
      </c>
      <c r="F9">
        <f>FIND(char,tabla_datos[[#This Row],[Empleado]])</f>
        <v>8</v>
      </c>
      <c r="G9">
        <f>LEN(tabla_datos[[#This Row],[Empleado]])</f>
        <v>15</v>
      </c>
      <c r="H9" s="47">
        <f>COUNTIF(tabla_ventas[Empleado],tabla_datos[[#This Row],[Codigo]])</f>
        <v>2</v>
      </c>
      <c r="I9" s="46">
        <f>SUMIF(tabla_ventas[Empleado],tabla_datos[[#This Row],[Codigo]],tabla_ventas[Total])</f>
        <v>246500</v>
      </c>
    </row>
  </sheetData>
  <phoneticPr fontId="4" type="noConversion"/>
  <conditionalFormatting sqref="I1:I1048576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1048576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menu!A1" display="atrás" xr:uid="{52F5A465-28D2-48CE-B5A6-F404D2F6AE0E}"/>
  </hyperlink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1"/>
  <sheetViews>
    <sheetView zoomScaleNormal="100" workbookViewId="0">
      <pane xSplit="2" ySplit="1" topLeftCell="K2" activePane="bottomRight" state="frozen"/>
      <selection pane="topRight" activeCell="B1" sqref="B1"/>
      <selection pane="bottomLeft" activeCell="A2" sqref="A2"/>
      <selection pane="bottomRight" activeCell="L19" sqref="L19"/>
    </sheetView>
  </sheetViews>
  <sheetFormatPr baseColWidth="10" defaultRowHeight="15" x14ac:dyDescent="0.25"/>
  <cols>
    <col min="1" max="1" width="3.7109375" style="40" customWidth="1"/>
    <col min="2" max="2" width="20.7109375" bestFit="1" customWidth="1"/>
    <col min="3" max="7" width="3.7109375" bestFit="1" customWidth="1"/>
    <col min="8" max="8" width="3.7109375" style="15" bestFit="1" customWidth="1"/>
    <col min="9" max="14" width="3.7109375" bestFit="1" customWidth="1"/>
    <col min="15" max="15" width="3.7109375" style="15" bestFit="1" customWidth="1"/>
    <col min="16" max="21" width="3.7109375" bestFit="1" customWidth="1"/>
    <col min="22" max="22" width="3.7109375" style="15" bestFit="1" customWidth="1"/>
    <col min="23" max="28" width="3.7109375" bestFit="1" customWidth="1"/>
    <col min="29" max="29" width="3.7109375" style="15" bestFit="1" customWidth="1"/>
    <col min="30" max="32" width="3.7109375" bestFit="1" customWidth="1"/>
    <col min="33" max="34" width="3" bestFit="1" customWidth="1"/>
    <col min="35" max="35" width="2.85546875" customWidth="1"/>
    <col min="36" max="36" width="13.42578125" bestFit="1" customWidth="1"/>
    <col min="37" max="38" width="7.28515625" bestFit="1" customWidth="1"/>
  </cols>
  <sheetData>
    <row r="1" spans="1:38" ht="45.75" x14ac:dyDescent="0.25">
      <c r="A1" s="43" t="s">
        <v>136</v>
      </c>
      <c r="B1" s="37" t="s">
        <v>69</v>
      </c>
      <c r="C1" s="30" t="s">
        <v>96</v>
      </c>
      <c r="D1" s="30" t="s">
        <v>97</v>
      </c>
      <c r="E1" s="30" t="s">
        <v>98</v>
      </c>
      <c r="F1" s="30" t="s">
        <v>99</v>
      </c>
      <c r="G1" s="30" t="s">
        <v>100</v>
      </c>
      <c r="H1" s="31" t="s">
        <v>101</v>
      </c>
      <c r="I1" s="30" t="s">
        <v>102</v>
      </c>
      <c r="J1" s="30" t="s">
        <v>103</v>
      </c>
      <c r="K1" s="30" t="s">
        <v>104</v>
      </c>
      <c r="L1" s="30" t="s">
        <v>105</v>
      </c>
      <c r="M1" s="30" t="s">
        <v>106</v>
      </c>
      <c r="N1" s="30" t="s">
        <v>107</v>
      </c>
      <c r="O1" s="31" t="s">
        <v>108</v>
      </c>
      <c r="P1" s="30" t="s">
        <v>109</v>
      </c>
      <c r="Q1" s="30" t="s">
        <v>110</v>
      </c>
      <c r="R1" s="30" t="s">
        <v>111</v>
      </c>
      <c r="S1" s="30" t="s">
        <v>112</v>
      </c>
      <c r="T1" s="30" t="s">
        <v>113</v>
      </c>
      <c r="U1" s="30" t="s">
        <v>114</v>
      </c>
      <c r="V1" s="31" t="s">
        <v>115</v>
      </c>
      <c r="W1" s="30" t="s">
        <v>116</v>
      </c>
      <c r="X1" s="30" t="s">
        <v>117</v>
      </c>
      <c r="Y1" s="30" t="s">
        <v>118</v>
      </c>
      <c r="Z1" s="30" t="s">
        <v>119</v>
      </c>
      <c r="AA1" s="30" t="s">
        <v>120</v>
      </c>
      <c r="AB1" s="30" t="s">
        <v>121</v>
      </c>
      <c r="AC1" s="31" t="s">
        <v>122</v>
      </c>
      <c r="AD1" s="30" t="s">
        <v>123</v>
      </c>
      <c r="AE1" s="30" t="s">
        <v>124</v>
      </c>
      <c r="AF1" s="30" t="s">
        <v>125</v>
      </c>
      <c r="AG1" s="7" t="s">
        <v>71</v>
      </c>
      <c r="AH1" s="8" t="s">
        <v>72</v>
      </c>
      <c r="AJ1" s="6" t="s">
        <v>67</v>
      </c>
      <c r="AK1" s="7" t="s">
        <v>74</v>
      </c>
      <c r="AL1" s="8" t="s">
        <v>70</v>
      </c>
    </row>
    <row r="2" spans="1:38" x14ac:dyDescent="0.25">
      <c r="B2" s="9" t="str">
        <f>_xlfn.CONCAT(empleados!D2,", ",empleados!C2)</f>
        <v>Racedo, Cristian</v>
      </c>
      <c r="C2" s="32" t="s">
        <v>70</v>
      </c>
      <c r="D2" s="10" t="s">
        <v>70</v>
      </c>
      <c r="E2" s="10" t="s">
        <v>70</v>
      </c>
      <c r="F2" s="10"/>
      <c r="G2" s="10" t="s">
        <v>70</v>
      </c>
      <c r="H2" s="33"/>
      <c r="I2" s="10" t="s">
        <v>70</v>
      </c>
      <c r="J2" s="10"/>
      <c r="K2" s="10" t="s">
        <v>70</v>
      </c>
      <c r="L2" s="10"/>
      <c r="M2" s="10" t="s">
        <v>70</v>
      </c>
      <c r="N2" s="10" t="s">
        <v>70</v>
      </c>
      <c r="O2" s="33"/>
      <c r="P2" s="10" t="s">
        <v>70</v>
      </c>
      <c r="Q2" s="10" t="s">
        <v>70</v>
      </c>
      <c r="R2" s="10" t="s">
        <v>70</v>
      </c>
      <c r="S2" s="10" t="s">
        <v>70</v>
      </c>
      <c r="T2" s="10" t="s">
        <v>70</v>
      </c>
      <c r="U2" s="10"/>
      <c r="V2" s="33"/>
      <c r="W2" s="10" t="s">
        <v>70</v>
      </c>
      <c r="X2" s="10" t="s">
        <v>70</v>
      </c>
      <c r="Y2" s="10"/>
      <c r="Z2" s="10" t="s">
        <v>70</v>
      </c>
      <c r="AA2" s="10"/>
      <c r="AB2" s="10" t="s">
        <v>70</v>
      </c>
      <c r="AC2" s="33"/>
      <c r="AD2" s="10" t="s">
        <v>70</v>
      </c>
      <c r="AE2" s="10" t="s">
        <v>70</v>
      </c>
      <c r="AF2" s="10" t="s">
        <v>70</v>
      </c>
      <c r="AG2" s="10">
        <f>COUNTBLANK($B2:$AF2)</f>
        <v>10</v>
      </c>
      <c r="AH2" s="29">
        <f>COUNTA($C2:$AF2)</f>
        <v>20</v>
      </c>
      <c r="AJ2" s="9" t="s">
        <v>73</v>
      </c>
      <c r="AK2" s="10">
        <f>SUM(AG$2:AG$9)</f>
        <v>93</v>
      </c>
      <c r="AL2" s="29">
        <f>SUM(AH$2:AH$9)</f>
        <v>147</v>
      </c>
    </row>
    <row r="3" spans="1:38" x14ac:dyDescent="0.25">
      <c r="B3" s="12" t="str">
        <f>_xlfn.CONCAT(empleados!D3,", ",empleados!C3)</f>
        <v>Racedo, Abel</v>
      </c>
      <c r="C3" s="34" t="s">
        <v>70</v>
      </c>
      <c r="D3" s="13" t="s">
        <v>70</v>
      </c>
      <c r="E3" s="13" t="s">
        <v>70</v>
      </c>
      <c r="F3" s="13" t="s">
        <v>70</v>
      </c>
      <c r="G3" s="13"/>
      <c r="H3" s="33"/>
      <c r="I3" s="13" t="s">
        <v>70</v>
      </c>
      <c r="J3" s="13" t="s">
        <v>70</v>
      </c>
      <c r="K3" s="13" t="s">
        <v>70</v>
      </c>
      <c r="L3" s="13" t="s">
        <v>70</v>
      </c>
      <c r="M3" s="13" t="s">
        <v>70</v>
      </c>
      <c r="N3" s="13"/>
      <c r="O3" s="33"/>
      <c r="P3" s="13" t="s">
        <v>70</v>
      </c>
      <c r="Q3" s="13" t="s">
        <v>70</v>
      </c>
      <c r="R3" s="13"/>
      <c r="S3" s="13" t="s">
        <v>70</v>
      </c>
      <c r="T3" s="13" t="s">
        <v>70</v>
      </c>
      <c r="U3" s="13" t="s">
        <v>70</v>
      </c>
      <c r="V3" s="33"/>
      <c r="W3" s="13" t="s">
        <v>70</v>
      </c>
      <c r="X3" s="13" t="s">
        <v>70</v>
      </c>
      <c r="Y3" s="13"/>
      <c r="Z3" s="13" t="s">
        <v>70</v>
      </c>
      <c r="AA3" s="13" t="s">
        <v>70</v>
      </c>
      <c r="AB3" s="13" t="s">
        <v>70</v>
      </c>
      <c r="AC3" s="33"/>
      <c r="AD3" s="13" t="s">
        <v>70</v>
      </c>
      <c r="AE3" s="13" t="s">
        <v>70</v>
      </c>
      <c r="AF3" s="13" t="s">
        <v>70</v>
      </c>
      <c r="AG3" s="13">
        <f t="shared" ref="AG3:AG8" si="0">COUNTBLANK($B3:$AF3)</f>
        <v>8</v>
      </c>
      <c r="AH3" s="25">
        <f t="shared" ref="AH3:AH9" si="1">COUNTA($C3:$AF3)</f>
        <v>22</v>
      </c>
      <c r="AJ3" s="12" t="s">
        <v>75</v>
      </c>
      <c r="AK3" s="13">
        <f>MIN(AG$2:AG$9)</f>
        <v>8</v>
      </c>
      <c r="AL3" s="25">
        <f>MIN(AH$2:AH$9)</f>
        <v>17</v>
      </c>
    </row>
    <row r="4" spans="1:38" x14ac:dyDescent="0.25">
      <c r="B4" s="9" t="str">
        <f>_xlfn.CONCAT(empleados!D4,", ",empleados!C4)</f>
        <v>Maldonado, Alejandra</v>
      </c>
      <c r="C4" s="32"/>
      <c r="D4" s="10" t="s">
        <v>70</v>
      </c>
      <c r="E4" s="10" t="s">
        <v>70</v>
      </c>
      <c r="F4" s="10" t="s">
        <v>70</v>
      </c>
      <c r="G4" s="10"/>
      <c r="H4" s="33"/>
      <c r="I4" s="10" t="s">
        <v>70</v>
      </c>
      <c r="J4" s="10" t="s">
        <v>70</v>
      </c>
      <c r="K4" s="10"/>
      <c r="L4" s="10" t="s">
        <v>70</v>
      </c>
      <c r="M4" s="10" t="s">
        <v>70</v>
      </c>
      <c r="N4" s="10" t="s">
        <v>70</v>
      </c>
      <c r="O4" s="33"/>
      <c r="P4" s="10" t="s">
        <v>70</v>
      </c>
      <c r="Q4" s="10"/>
      <c r="R4" s="10" t="s">
        <v>70</v>
      </c>
      <c r="S4" s="10" t="s">
        <v>70</v>
      </c>
      <c r="T4" s="10" t="s">
        <v>70</v>
      </c>
      <c r="U4" s="10"/>
      <c r="V4" s="33"/>
      <c r="W4" s="10" t="s">
        <v>70</v>
      </c>
      <c r="X4" s="10" t="s">
        <v>70</v>
      </c>
      <c r="Y4" s="10" t="s">
        <v>70</v>
      </c>
      <c r="Z4" s="10" t="s">
        <v>70</v>
      </c>
      <c r="AA4" s="10"/>
      <c r="AB4" s="10" t="s">
        <v>70</v>
      </c>
      <c r="AC4" s="33"/>
      <c r="AD4" s="10" t="s">
        <v>70</v>
      </c>
      <c r="AE4" s="10" t="s">
        <v>70</v>
      </c>
      <c r="AF4" s="10"/>
      <c r="AG4" s="10">
        <f t="shared" si="0"/>
        <v>11</v>
      </c>
      <c r="AH4" s="29">
        <f t="shared" si="1"/>
        <v>19</v>
      </c>
      <c r="AJ4" s="9" t="s">
        <v>76</v>
      </c>
      <c r="AK4" s="10">
        <f>MAX(AG2:AG9)</f>
        <v>13</v>
      </c>
      <c r="AL4" s="29">
        <f>MAX(AH2:AH9)</f>
        <v>22</v>
      </c>
    </row>
    <row r="5" spans="1:38" x14ac:dyDescent="0.25">
      <c r="B5" s="12" t="str">
        <f>_xlfn.CONCAT(empleados!D5,", ",empleados!C5)</f>
        <v>Juarez, Alberto</v>
      </c>
      <c r="C5" s="34" t="s">
        <v>70</v>
      </c>
      <c r="D5" s="13" t="s">
        <v>70</v>
      </c>
      <c r="E5" s="13" t="s">
        <v>70</v>
      </c>
      <c r="F5" s="13"/>
      <c r="G5" s="13" t="s">
        <v>70</v>
      </c>
      <c r="H5" s="33"/>
      <c r="I5" s="13" t="s">
        <v>70</v>
      </c>
      <c r="J5" s="13"/>
      <c r="K5" s="13" t="s">
        <v>70</v>
      </c>
      <c r="L5" s="13"/>
      <c r="M5" s="13" t="s">
        <v>70</v>
      </c>
      <c r="N5" s="13" t="s">
        <v>70</v>
      </c>
      <c r="O5" s="33"/>
      <c r="P5" s="13" t="s">
        <v>70</v>
      </c>
      <c r="Q5" s="13"/>
      <c r="R5" s="13" t="s">
        <v>70</v>
      </c>
      <c r="S5" s="13" t="s">
        <v>70</v>
      </c>
      <c r="T5" s="13"/>
      <c r="U5" s="13" t="s">
        <v>70</v>
      </c>
      <c r="V5" s="33"/>
      <c r="W5" s="13" t="s">
        <v>70</v>
      </c>
      <c r="X5" s="13"/>
      <c r="Y5" s="13" t="s">
        <v>70</v>
      </c>
      <c r="Z5" s="13"/>
      <c r="AA5" s="13" t="s">
        <v>70</v>
      </c>
      <c r="AB5" s="13" t="s">
        <v>70</v>
      </c>
      <c r="AC5" s="33"/>
      <c r="AD5" s="13" t="s">
        <v>70</v>
      </c>
      <c r="AE5" s="13"/>
      <c r="AF5" s="13" t="s">
        <v>70</v>
      </c>
      <c r="AG5" s="13">
        <f t="shared" si="0"/>
        <v>12</v>
      </c>
      <c r="AH5" s="25">
        <f t="shared" si="1"/>
        <v>18</v>
      </c>
      <c r="AJ5" s="12" t="s">
        <v>77</v>
      </c>
      <c r="AK5" s="13">
        <f>AVERAGE(AG$2:AG$9)</f>
        <v>11.625</v>
      </c>
      <c r="AL5" s="25">
        <f>AVERAGE(AH$2:AH$9)</f>
        <v>18.375</v>
      </c>
    </row>
    <row r="6" spans="1:38" x14ac:dyDescent="0.25">
      <c r="B6" s="9" t="str">
        <f>_xlfn.CONCAT(empleados!D6,", ",empleados!C6)</f>
        <v>Martinez, Mariana</v>
      </c>
      <c r="C6" s="32"/>
      <c r="D6" s="10" t="s">
        <v>70</v>
      </c>
      <c r="E6" s="10" t="s">
        <v>70</v>
      </c>
      <c r="F6" s="10" t="s">
        <v>70</v>
      </c>
      <c r="G6" s="10"/>
      <c r="H6" s="33"/>
      <c r="I6" s="10"/>
      <c r="J6" s="10" t="s">
        <v>70</v>
      </c>
      <c r="K6" s="10" t="s">
        <v>70</v>
      </c>
      <c r="L6" s="10"/>
      <c r="M6" s="10" t="s">
        <v>70</v>
      </c>
      <c r="N6" s="10"/>
      <c r="O6" s="33"/>
      <c r="P6" s="10"/>
      <c r="Q6" s="10" t="s">
        <v>70</v>
      </c>
      <c r="R6" s="10" t="s">
        <v>70</v>
      </c>
      <c r="S6" s="10"/>
      <c r="T6" s="10" t="s">
        <v>70</v>
      </c>
      <c r="U6" s="10" t="s">
        <v>70</v>
      </c>
      <c r="V6" s="33"/>
      <c r="W6" s="10" t="s">
        <v>70</v>
      </c>
      <c r="X6" s="10" t="s">
        <v>70</v>
      </c>
      <c r="Y6" s="10" t="s">
        <v>70</v>
      </c>
      <c r="Z6" s="10" t="s">
        <v>70</v>
      </c>
      <c r="AA6" s="10"/>
      <c r="AB6" s="10"/>
      <c r="AC6" s="33"/>
      <c r="AD6" s="10" t="s">
        <v>70</v>
      </c>
      <c r="AE6" s="10" t="s">
        <v>70</v>
      </c>
      <c r="AF6" s="10" t="s">
        <v>70</v>
      </c>
      <c r="AG6" s="10">
        <f t="shared" si="0"/>
        <v>13</v>
      </c>
      <c r="AH6" s="29">
        <f t="shared" si="1"/>
        <v>17</v>
      </c>
      <c r="AJ6" s="9" t="s">
        <v>78</v>
      </c>
      <c r="AK6" s="10">
        <f>MEDIAN(AG$2:AG$9)</f>
        <v>12.5</v>
      </c>
      <c r="AL6" s="29">
        <f>MEDIAN(AH$2:AH$9)</f>
        <v>17.5</v>
      </c>
    </row>
    <row r="7" spans="1:38" x14ac:dyDescent="0.25">
      <c r="B7" s="12" t="str">
        <f>_xlfn.CONCAT(empleados!D7,", ",empleados!C7)</f>
        <v>Gomez, Graciela</v>
      </c>
      <c r="C7" s="34" t="s">
        <v>70</v>
      </c>
      <c r="D7" s="13" t="s">
        <v>70</v>
      </c>
      <c r="E7" s="13" t="s">
        <v>70</v>
      </c>
      <c r="F7" s="13" t="s">
        <v>70</v>
      </c>
      <c r="G7" s="13" t="s">
        <v>70</v>
      </c>
      <c r="H7" s="33"/>
      <c r="I7" s="13" t="s">
        <v>70</v>
      </c>
      <c r="J7" s="13" t="s">
        <v>70</v>
      </c>
      <c r="K7" s="13"/>
      <c r="L7" s="13" t="s">
        <v>70</v>
      </c>
      <c r="M7" s="13" t="s">
        <v>70</v>
      </c>
      <c r="N7" s="13"/>
      <c r="O7" s="33"/>
      <c r="P7" s="13" t="s">
        <v>70</v>
      </c>
      <c r="Q7" s="13"/>
      <c r="R7" s="13"/>
      <c r="S7" s="13" t="s">
        <v>70</v>
      </c>
      <c r="T7" s="13" t="s">
        <v>70</v>
      </c>
      <c r="U7" s="13"/>
      <c r="V7" s="33"/>
      <c r="W7" s="13"/>
      <c r="X7" s="13" t="s">
        <v>70</v>
      </c>
      <c r="Y7" s="13"/>
      <c r="Z7" s="13" t="s">
        <v>70</v>
      </c>
      <c r="AA7" s="13" t="s">
        <v>70</v>
      </c>
      <c r="AB7" s="13" t="s">
        <v>70</v>
      </c>
      <c r="AC7" s="33"/>
      <c r="AD7" s="13" t="s">
        <v>70</v>
      </c>
      <c r="AE7" s="13"/>
      <c r="AF7" s="13"/>
      <c r="AG7" s="13">
        <f t="shared" si="0"/>
        <v>13</v>
      </c>
      <c r="AH7" s="25">
        <f t="shared" si="1"/>
        <v>17</v>
      </c>
      <c r="AJ7" s="17" t="s">
        <v>79</v>
      </c>
      <c r="AK7" s="18">
        <f>MODE(AG$2:AG$9)</f>
        <v>13</v>
      </c>
      <c r="AL7" s="19">
        <f>MODE(AH$2:AH$9)</f>
        <v>17</v>
      </c>
    </row>
    <row r="8" spans="1:38" x14ac:dyDescent="0.25">
      <c r="B8" s="9" t="str">
        <f>_xlfn.CONCAT(empleados!D8,", ",empleados!C8)</f>
        <v>Garcia, Demetrio</v>
      </c>
      <c r="C8" s="32"/>
      <c r="D8" s="10"/>
      <c r="E8" s="10" t="s">
        <v>70</v>
      </c>
      <c r="F8" s="10" t="s">
        <v>70</v>
      </c>
      <c r="G8" s="10"/>
      <c r="H8" s="33"/>
      <c r="I8" s="10"/>
      <c r="J8" s="10" t="s">
        <v>70</v>
      </c>
      <c r="K8" s="10" t="s">
        <v>70</v>
      </c>
      <c r="L8" s="10" t="s">
        <v>70</v>
      </c>
      <c r="M8" s="10"/>
      <c r="N8" s="10" t="s">
        <v>70</v>
      </c>
      <c r="O8" s="33"/>
      <c r="P8" s="10" t="s">
        <v>70</v>
      </c>
      <c r="Q8" s="10" t="s">
        <v>70</v>
      </c>
      <c r="R8" s="10" t="s">
        <v>70</v>
      </c>
      <c r="S8" s="10"/>
      <c r="T8" s="10"/>
      <c r="U8" s="10" t="s">
        <v>70</v>
      </c>
      <c r="V8" s="33"/>
      <c r="W8" s="10" t="s">
        <v>70</v>
      </c>
      <c r="X8" s="10" t="s">
        <v>70</v>
      </c>
      <c r="Y8" s="10" t="s">
        <v>70</v>
      </c>
      <c r="Z8" s="10" t="s">
        <v>70</v>
      </c>
      <c r="AA8" s="10"/>
      <c r="AB8" s="10" t="s">
        <v>70</v>
      </c>
      <c r="AC8" s="33"/>
      <c r="AD8" s="10"/>
      <c r="AE8" s="10" t="s">
        <v>70</v>
      </c>
      <c r="AF8" s="10" t="s">
        <v>70</v>
      </c>
      <c r="AG8" s="10">
        <f t="shared" si="0"/>
        <v>13</v>
      </c>
      <c r="AH8" s="29">
        <f t="shared" si="1"/>
        <v>17</v>
      </c>
    </row>
    <row r="9" spans="1:38" x14ac:dyDescent="0.25">
      <c r="B9" s="17" t="str">
        <f>_xlfn.CONCAT(empleados!D9,", ",empleados!C9)</f>
        <v>Cabello, Camila</v>
      </c>
      <c r="C9" s="35" t="s">
        <v>70</v>
      </c>
      <c r="D9" s="18" t="s">
        <v>70</v>
      </c>
      <c r="E9" s="18"/>
      <c r="F9" s="18" t="s">
        <v>70</v>
      </c>
      <c r="G9" s="18" t="s">
        <v>70</v>
      </c>
      <c r="H9" s="36"/>
      <c r="I9" s="18" t="s">
        <v>70</v>
      </c>
      <c r="J9" s="18" t="s">
        <v>70</v>
      </c>
      <c r="K9" s="18"/>
      <c r="L9" s="18" t="s">
        <v>70</v>
      </c>
      <c r="M9" s="18" t="s">
        <v>70</v>
      </c>
      <c r="N9" s="18"/>
      <c r="O9" s="36"/>
      <c r="P9" s="18"/>
      <c r="Q9" s="18"/>
      <c r="R9" s="18" t="s">
        <v>70</v>
      </c>
      <c r="S9" s="18" t="s">
        <v>70</v>
      </c>
      <c r="T9" s="18" t="s">
        <v>70</v>
      </c>
      <c r="U9" s="18" t="s">
        <v>70</v>
      </c>
      <c r="V9" s="36"/>
      <c r="W9" s="18" t="s">
        <v>70</v>
      </c>
      <c r="X9" s="18"/>
      <c r="Y9" s="18" t="s">
        <v>70</v>
      </c>
      <c r="Z9" s="18"/>
      <c r="AA9" s="18" t="s">
        <v>70</v>
      </c>
      <c r="AB9" s="18"/>
      <c r="AC9" s="36"/>
      <c r="AD9" s="18" t="s">
        <v>70</v>
      </c>
      <c r="AE9" s="18" t="s">
        <v>70</v>
      </c>
      <c r="AF9" s="18"/>
      <c r="AG9" s="18">
        <f>COUNTBLANK($B9:$AF9)</f>
        <v>13</v>
      </c>
      <c r="AH9" s="19">
        <f t="shared" si="1"/>
        <v>17</v>
      </c>
    </row>
    <row r="10" spans="1:38" x14ac:dyDescent="0.25">
      <c r="C10" s="1"/>
    </row>
    <row r="11" spans="1:38" x14ac:dyDescent="0.25">
      <c r="C11" s="1"/>
    </row>
    <row r="12" spans="1:38" x14ac:dyDescent="0.25">
      <c r="C12" s="1"/>
    </row>
    <row r="13" spans="1:38" x14ac:dyDescent="0.25">
      <c r="C13" s="1"/>
    </row>
    <row r="14" spans="1:38" x14ac:dyDescent="0.25">
      <c r="C14" s="1"/>
    </row>
    <row r="15" spans="1:38" x14ac:dyDescent="0.25">
      <c r="C15" s="1"/>
    </row>
    <row r="16" spans="1:38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</sheetData>
  <hyperlinks>
    <hyperlink ref="A1" location="menu!A1" display="Volver" xr:uid="{6C2EC084-3FEA-47B0-BB6A-501CCE8EF332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topLeftCell="B1" zoomScale="115" zoomScaleNormal="115" workbookViewId="0">
      <pane ySplit="1" topLeftCell="A2" activePane="bottomLeft" state="frozen"/>
      <selection pane="bottomLeft" activeCell="J1" sqref="B1:J16"/>
    </sheetView>
  </sheetViews>
  <sheetFormatPr baseColWidth="10" defaultRowHeight="15" x14ac:dyDescent="0.25"/>
  <cols>
    <col min="1" max="1" width="11.85546875" customWidth="1"/>
    <col min="2" max="2" width="9.42578125" bestFit="1" customWidth="1"/>
    <col min="3" max="3" width="30.85546875" bestFit="1" customWidth="1"/>
    <col min="4" max="4" width="11.7109375" bestFit="1" customWidth="1"/>
    <col min="5" max="5" width="10.28515625" bestFit="1" customWidth="1"/>
    <col min="6" max="6" width="21.5703125" style="2" customWidth="1"/>
    <col min="7" max="7" width="8.7109375" style="48" bestFit="1" customWidth="1"/>
    <col min="8" max="8" width="13.140625" style="20" bestFit="1" customWidth="1"/>
    <col min="9" max="9" width="15.5703125" style="2" bestFit="1" customWidth="1"/>
    <col min="10" max="10" width="9.140625" bestFit="1" customWidth="1"/>
    <col min="13" max="13" width="9.140625" bestFit="1" customWidth="1"/>
    <col min="14" max="14" width="15.42578125" bestFit="1" customWidth="1"/>
    <col min="15" max="15" width="8.28515625" bestFit="1" customWidth="1"/>
  </cols>
  <sheetData>
    <row r="1" spans="1:15" ht="17.25" customHeight="1" x14ac:dyDescent="0.25">
      <c r="A1" s="42" t="s">
        <v>136</v>
      </c>
      <c r="B1" t="s">
        <v>2</v>
      </c>
      <c r="C1" t="s">
        <v>38</v>
      </c>
      <c r="D1" t="s">
        <v>41</v>
      </c>
      <c r="E1" t="s">
        <v>139</v>
      </c>
      <c r="F1" s="3" t="s">
        <v>39</v>
      </c>
      <c r="G1" s="48" t="s">
        <v>40</v>
      </c>
      <c r="H1" s="20" t="s">
        <v>172</v>
      </c>
      <c r="I1" s="2" t="s">
        <v>173</v>
      </c>
      <c r="J1" t="s">
        <v>174</v>
      </c>
      <c r="L1" s="6" t="s">
        <v>67</v>
      </c>
      <c r="M1" s="7" t="s">
        <v>177</v>
      </c>
      <c r="N1" s="57" t="s">
        <v>176</v>
      </c>
      <c r="O1" s="60" t="s">
        <v>174</v>
      </c>
    </row>
    <row r="2" spans="1:15" x14ac:dyDescent="0.25">
      <c r="B2">
        <v>1</v>
      </c>
      <c r="C2" t="s">
        <v>149</v>
      </c>
      <c r="D2" t="s">
        <v>42</v>
      </c>
      <c r="E2" t="s">
        <v>140</v>
      </c>
      <c r="F2" s="2">
        <v>25000</v>
      </c>
      <c r="G2" s="48">
        <v>3000</v>
      </c>
      <c r="H2" s="20">
        <f>SUMIF(tabla_ventas[Producto],tabla_productos[[#This Row],[Codigo]],tabla_ventas[Cantidad])</f>
        <v>4</v>
      </c>
      <c r="I2" s="2">
        <f>SUMIF(tabla_ventas[Producto],tabla_productos[[#This Row],[Codigo]],tabla_ventas[Total])</f>
        <v>100000</v>
      </c>
      <c r="J2">
        <f>COUNTIF(tabla_ventas[Producto],tabla_productos[[#This Row],[Codigo]])</f>
        <v>2</v>
      </c>
      <c r="L2" s="63" t="s">
        <v>171</v>
      </c>
      <c r="M2" s="64">
        <f>COUNT(tabla_productos[Vendidos])</f>
        <v>15</v>
      </c>
      <c r="N2" s="64">
        <f>COUNT(H:H)</f>
        <v>15</v>
      </c>
      <c r="O2" s="65">
        <f>COUNT(I:I)</f>
        <v>15</v>
      </c>
    </row>
    <row r="3" spans="1:15" x14ac:dyDescent="0.25">
      <c r="B3">
        <v>2</v>
      </c>
      <c r="C3" t="s">
        <v>148</v>
      </c>
      <c r="D3" t="s">
        <v>42</v>
      </c>
      <c r="E3" t="s">
        <v>141</v>
      </c>
      <c r="F3" s="2">
        <v>56000</v>
      </c>
      <c r="G3" s="48">
        <v>5399</v>
      </c>
      <c r="H3" s="20">
        <f>SUMIF(tabla_ventas[Producto],tabla_productos[[#This Row],[Codigo]],tabla_ventas[Cantidad])</f>
        <v>17</v>
      </c>
      <c r="I3" s="2">
        <f>SUMIF(tabla_ventas[Producto],tabla_productos[[#This Row],[Codigo]],tabla_ventas[Total])</f>
        <v>952000</v>
      </c>
      <c r="J3">
        <f>COUNTIF(tabla_ventas[Producto],tabla_productos[[#This Row],[Codigo]])</f>
        <v>7</v>
      </c>
      <c r="L3" s="12" t="s">
        <v>168</v>
      </c>
      <c r="M3" s="55">
        <f>SUM(tabla_productos[Vendidos])</f>
        <v>62</v>
      </c>
      <c r="N3" s="59">
        <f>SUM(tabla_productos[Recaudado])</f>
        <v>5360469.9399999995</v>
      </c>
      <c r="O3" s="62">
        <f>SUM(tabla_productos[ventas])</f>
        <v>22</v>
      </c>
    </row>
    <row r="4" spans="1:15" x14ac:dyDescent="0.25">
      <c r="B4">
        <v>3</v>
      </c>
      <c r="C4" t="s">
        <v>147</v>
      </c>
      <c r="D4" t="s">
        <v>43</v>
      </c>
      <c r="E4" t="s">
        <v>142</v>
      </c>
      <c r="F4" s="2">
        <v>124999.99</v>
      </c>
      <c r="G4" s="48">
        <v>2380</v>
      </c>
      <c r="H4" s="20">
        <f>SUMIF(tabla_ventas[Producto],tabla_productos[[#This Row],[Codigo]],tabla_ventas[Cantidad])</f>
        <v>6</v>
      </c>
      <c r="I4" s="2">
        <f>SUMIF(tabla_ventas[Producto],tabla_productos[[#This Row],[Codigo]],tabla_ventas[Total])</f>
        <v>749999.94000000006</v>
      </c>
      <c r="J4">
        <f>COUNTIF(tabla_ventas[Producto],tabla_productos[[#This Row],[Codigo]])</f>
        <v>2</v>
      </c>
      <c r="L4" s="9" t="s">
        <v>170</v>
      </c>
      <c r="M4" s="54">
        <f>MAX(tabla_productos[Vendidos])</f>
        <v>17</v>
      </c>
      <c r="N4" s="58">
        <f>MAX(tabla_productos[Recaudado])</f>
        <v>1326500</v>
      </c>
      <c r="O4" s="61">
        <f>MAX(tabla_productos[ventas])</f>
        <v>7</v>
      </c>
    </row>
    <row r="5" spans="1:15" x14ac:dyDescent="0.25">
      <c r="B5">
        <v>4</v>
      </c>
      <c r="C5" t="s">
        <v>146</v>
      </c>
      <c r="D5" t="s">
        <v>44</v>
      </c>
      <c r="E5" t="s">
        <v>143</v>
      </c>
      <c r="F5" s="2">
        <v>35500</v>
      </c>
      <c r="G5" s="48">
        <v>4500</v>
      </c>
      <c r="H5" s="20">
        <f>SUMIF(tabla_ventas[Producto],tabla_productos[[#This Row],[Codigo]],tabla_ventas[Cantidad])</f>
        <v>4</v>
      </c>
      <c r="I5" s="2">
        <f>SUMIF(tabla_ventas[Producto],tabla_productos[[#This Row],[Codigo]],tabla_ventas[Total])</f>
        <v>142000</v>
      </c>
      <c r="J5">
        <f>COUNTIF(tabla_ventas[Producto],tabla_productos[[#This Row],[Codigo]])</f>
        <v>2</v>
      </c>
      <c r="L5" s="12" t="s">
        <v>169</v>
      </c>
      <c r="M5" s="55">
        <f>MIN(tabla_productos[Vendidos])</f>
        <v>0</v>
      </c>
      <c r="N5" s="59">
        <f>MIN(tabla_productos[Recaudado])</f>
        <v>0</v>
      </c>
      <c r="O5" s="62">
        <f>MIN(tabla_productos[ventas])</f>
        <v>0</v>
      </c>
    </row>
    <row r="6" spans="1:15" x14ac:dyDescent="0.25">
      <c r="B6">
        <v>5</v>
      </c>
      <c r="C6" t="s">
        <v>145</v>
      </c>
      <c r="D6" t="s">
        <v>43</v>
      </c>
      <c r="E6" t="s">
        <v>144</v>
      </c>
      <c r="F6" s="2">
        <v>85750</v>
      </c>
      <c r="G6" s="48">
        <v>13599</v>
      </c>
      <c r="H6" s="20">
        <f>SUMIF(tabla_ventas[Producto],tabla_productos[[#This Row],[Codigo]],tabla_ventas[Cantidad])</f>
        <v>7</v>
      </c>
      <c r="I6" s="2">
        <f>SUMIF(tabla_ventas[Producto],tabla_productos[[#This Row],[Codigo]],tabla_ventas[Total])</f>
        <v>600250</v>
      </c>
      <c r="J6">
        <f>COUNTIF(tabla_ventas[Producto],tabla_productos[[#This Row],[Codigo]])</f>
        <v>3</v>
      </c>
      <c r="L6" s="9" t="s">
        <v>166</v>
      </c>
      <c r="M6" s="68">
        <f>AVERAGE(tabla_productos[Vendidos])</f>
        <v>4.1333333333333337</v>
      </c>
      <c r="N6" s="58">
        <f>AVERAGE(tabla_productos[Recaudado])</f>
        <v>357364.66266666661</v>
      </c>
      <c r="O6" s="61">
        <f>AVERAGE(tabla_productos[ventas])</f>
        <v>1.4666666666666666</v>
      </c>
    </row>
    <row r="7" spans="1:15" x14ac:dyDescent="0.25">
      <c r="B7">
        <v>6</v>
      </c>
      <c r="C7" t="s">
        <v>150</v>
      </c>
      <c r="D7" t="s">
        <v>43</v>
      </c>
      <c r="E7" t="s">
        <v>144</v>
      </c>
      <c r="F7" s="2">
        <v>8599.99</v>
      </c>
      <c r="G7" s="48">
        <v>18390</v>
      </c>
      <c r="H7" s="20">
        <f>SUMIF(tabla_ventas[Producto],tabla_productos[[#This Row],[Codigo]],tabla_ventas[Cantidad])</f>
        <v>6</v>
      </c>
      <c r="I7" s="2">
        <f>SUMIF(tabla_ventas[Producto],tabla_productos[[#This Row],[Codigo]],tabla_ventas[Total])</f>
        <v>213000</v>
      </c>
      <c r="J7">
        <f>COUNTIF(tabla_ventas[Producto],tabla_productos[[#This Row],[Codigo]])</f>
        <v>1</v>
      </c>
      <c r="L7" s="17" t="s">
        <v>167</v>
      </c>
      <c r="M7" s="69">
        <f>MEDIAN(tabla_productos[Vendidos])</f>
        <v>4</v>
      </c>
      <c r="N7" s="70">
        <f>MEDIAN(tabla_productos[Recaudado])</f>
        <v>142000</v>
      </c>
      <c r="O7" s="56">
        <f>MEDIAN(tabla_productos[ventas])</f>
        <v>1</v>
      </c>
    </row>
    <row r="8" spans="1:15" x14ac:dyDescent="0.25">
      <c r="B8">
        <v>7</v>
      </c>
      <c r="C8" t="s">
        <v>165</v>
      </c>
      <c r="D8" t="s">
        <v>42</v>
      </c>
      <c r="E8" t="s">
        <v>142</v>
      </c>
      <c r="F8" s="2">
        <v>165800</v>
      </c>
      <c r="G8" s="48">
        <v>2890</v>
      </c>
      <c r="H8" s="20">
        <f>SUMIF(tabla_ventas[Producto],tabla_productos[[#This Row],[Codigo]],tabla_ventas[Cantidad])</f>
        <v>0</v>
      </c>
      <c r="I8" s="2">
        <f>SUMIF(tabla_ventas[Producto],tabla_productos[[#This Row],[Codigo]],tabla_ventas[Total])</f>
        <v>0</v>
      </c>
      <c r="J8">
        <f>COUNTIF(tabla_ventas[Producto],tabla_productos[[#This Row],[Codigo]])</f>
        <v>0</v>
      </c>
    </row>
    <row r="9" spans="1:15" x14ac:dyDescent="0.25">
      <c r="B9">
        <v>8</v>
      </c>
      <c r="C9" t="s">
        <v>151</v>
      </c>
      <c r="D9" t="s">
        <v>44</v>
      </c>
      <c r="E9" t="s">
        <v>143</v>
      </c>
      <c r="F9" s="2">
        <v>200530</v>
      </c>
      <c r="G9" s="48">
        <v>5000</v>
      </c>
      <c r="H9" s="20">
        <f>SUMIF(tabla_ventas[Producto],tabla_productos[[#This Row],[Codigo]],tabla_ventas[Cantidad])</f>
        <v>4</v>
      </c>
      <c r="I9" s="2">
        <f>SUMIF(tabla_ventas[Producto],tabla_productos[[#This Row],[Codigo]],tabla_ventas[Total])</f>
        <v>802120</v>
      </c>
      <c r="J9">
        <f>COUNTIF(tabla_ventas[Producto],tabla_productos[[#This Row],[Codigo]])</f>
        <v>1</v>
      </c>
    </row>
    <row r="10" spans="1:15" x14ac:dyDescent="0.25">
      <c r="B10">
        <v>9</v>
      </c>
      <c r="C10" t="s">
        <v>152</v>
      </c>
      <c r="D10" t="s">
        <v>42</v>
      </c>
      <c r="E10" t="s">
        <v>141</v>
      </c>
      <c r="F10" s="2">
        <v>156000</v>
      </c>
      <c r="G10" s="48">
        <v>8500</v>
      </c>
      <c r="H10" s="20">
        <f>SUMIF(tabla_ventas[Producto],tabla_productos[[#This Row],[Codigo]],tabla_ventas[Cantidad])</f>
        <v>3</v>
      </c>
      <c r="I10" s="2">
        <f>SUMIF(tabla_ventas[Producto],tabla_productos[[#This Row],[Codigo]],tabla_ventas[Total])</f>
        <v>468000</v>
      </c>
      <c r="J10">
        <f>COUNTIF(tabla_ventas[Producto],tabla_productos[[#This Row],[Codigo]])</f>
        <v>1</v>
      </c>
    </row>
    <row r="11" spans="1:15" x14ac:dyDescent="0.25">
      <c r="B11">
        <v>10</v>
      </c>
      <c r="C11" t="s">
        <v>154</v>
      </c>
      <c r="D11" t="s">
        <v>44</v>
      </c>
      <c r="E11" t="s">
        <v>153</v>
      </c>
      <c r="F11" s="2">
        <v>189500</v>
      </c>
      <c r="G11" s="48">
        <v>3190</v>
      </c>
      <c r="H11" s="20">
        <f>SUMIF(tabla_ventas[Producto],tabla_productos[[#This Row],[Codigo]],tabla_ventas[Cantidad])</f>
        <v>7</v>
      </c>
      <c r="I11" s="2">
        <f>SUMIF(tabla_ventas[Producto],tabla_productos[[#This Row],[Codigo]],tabla_ventas[Total])</f>
        <v>1326500</v>
      </c>
      <c r="J11">
        <f>COUNTIF(tabla_ventas[Producto],tabla_productos[[#This Row],[Codigo]])</f>
        <v>2</v>
      </c>
    </row>
    <row r="12" spans="1:15" x14ac:dyDescent="0.25">
      <c r="B12">
        <v>11</v>
      </c>
      <c r="C12" t="s">
        <v>157</v>
      </c>
      <c r="D12" t="s">
        <v>162</v>
      </c>
      <c r="E12" t="s">
        <v>155</v>
      </c>
      <c r="F12" s="2">
        <v>1650</v>
      </c>
      <c r="G12" s="48">
        <v>9850</v>
      </c>
      <c r="H12" s="20">
        <f>SUMIF(tabla_ventas[Producto],tabla_productos[[#This Row],[Codigo]],tabla_ventas[Cantidad])</f>
        <v>4</v>
      </c>
      <c r="I12" s="2">
        <f>SUMIF(tabla_ventas[Producto],tabla_productos[[#This Row],[Codigo]],tabla_ventas[Total])</f>
        <v>6600</v>
      </c>
      <c r="J12">
        <f>COUNTIF(tabla_ventas[Producto],tabla_productos[[#This Row],[Codigo]])</f>
        <v>1</v>
      </c>
    </row>
    <row r="13" spans="1:15" x14ac:dyDescent="0.25">
      <c r="B13">
        <v>12</v>
      </c>
      <c r="C13" t="s">
        <v>158</v>
      </c>
      <c r="D13" t="s">
        <v>162</v>
      </c>
      <c r="E13" t="s">
        <v>156</v>
      </c>
      <c r="F13" s="2">
        <v>3200</v>
      </c>
      <c r="G13" s="48">
        <v>4900</v>
      </c>
      <c r="H13" s="20">
        <f>SUMIF(tabla_ventas[Producto],tabla_productos[[#This Row],[Codigo]],tabla_ventas[Cantidad])</f>
        <v>0</v>
      </c>
      <c r="I13" s="2">
        <f>SUMIF(tabla_ventas[Producto],tabla_productos[[#This Row],[Codigo]],tabla_ventas[Total])</f>
        <v>0</v>
      </c>
      <c r="J13">
        <f>COUNTIF(tabla_ventas[Producto],tabla_productos[[#This Row],[Codigo]])</f>
        <v>0</v>
      </c>
    </row>
    <row r="14" spans="1:15" x14ac:dyDescent="0.25">
      <c r="B14">
        <v>13</v>
      </c>
      <c r="C14" t="s">
        <v>159</v>
      </c>
      <c r="D14" t="s">
        <v>43</v>
      </c>
      <c r="E14" t="s">
        <v>160</v>
      </c>
      <c r="F14" s="2">
        <v>95600</v>
      </c>
      <c r="G14" s="48">
        <v>2890</v>
      </c>
      <c r="H14" s="20">
        <f>SUMIF(tabla_ventas[Producto],tabla_productos[[#This Row],[Codigo]],tabla_ventas[Cantidad])</f>
        <v>0</v>
      </c>
      <c r="I14" s="2">
        <f>SUMIF(tabla_ventas[Producto],tabla_productos[[#This Row],[Codigo]],tabla_ventas[Total])</f>
        <v>0</v>
      </c>
      <c r="J14">
        <f>COUNTIF(tabla_ventas[Producto],tabla_productos[[#This Row],[Codigo]])</f>
        <v>0</v>
      </c>
    </row>
    <row r="15" spans="1:15" x14ac:dyDescent="0.25">
      <c r="B15">
        <v>14</v>
      </c>
      <c r="C15" t="s">
        <v>161</v>
      </c>
      <c r="D15" t="s">
        <v>162</v>
      </c>
      <c r="E15" t="s">
        <v>155</v>
      </c>
      <c r="F15" s="2">
        <v>1800</v>
      </c>
      <c r="G15" s="48">
        <v>9540</v>
      </c>
      <c r="H15" s="20">
        <f>SUMIF(tabla_ventas[Producto],tabla_productos[[#This Row],[Codigo]],tabla_ventas[Cantidad])</f>
        <v>0</v>
      </c>
      <c r="I15" s="2">
        <f>SUMIF(tabla_ventas[Producto],tabla_productos[[#This Row],[Codigo]],tabla_ventas[Total])</f>
        <v>0</v>
      </c>
      <c r="J15">
        <f>COUNTIF(tabla_ventas[Producto],tabla_productos[[#This Row],[Codigo]])</f>
        <v>0</v>
      </c>
    </row>
    <row r="16" spans="1:15" x14ac:dyDescent="0.25">
      <c r="B16">
        <v>15</v>
      </c>
      <c r="C16" t="s">
        <v>164</v>
      </c>
      <c r="D16" t="s">
        <v>162</v>
      </c>
      <c r="E16" t="s">
        <v>163</v>
      </c>
      <c r="F16" s="2">
        <v>28500</v>
      </c>
      <c r="G16" s="48">
        <v>5490</v>
      </c>
      <c r="H16" s="20">
        <f>SUMIF(tabla_ventas[Producto],tabla_productos[[#This Row],[Codigo]],tabla_ventas[Cantidad])</f>
        <v>0</v>
      </c>
      <c r="I16" s="2">
        <f>SUMIF(tabla_ventas[Producto],tabla_productos[[#This Row],[Codigo]],tabla_ventas[Total])</f>
        <v>0</v>
      </c>
      <c r="J16">
        <f>COUNTIF(tabla_ventas[Producto],tabla_productos[[#This Row],[Codigo]])</f>
        <v>0</v>
      </c>
    </row>
  </sheetData>
  <conditionalFormatting sqref="F1:F104857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{B5D6F39D-38C1-441B-9F30-C5B69B440542}</x14:id>
        </ext>
      </extLst>
    </cfRule>
  </conditionalFormatting>
  <conditionalFormatting sqref="G1:G1048576">
    <cfRule type="iconSet" priority="4">
      <iconSet iconSet="3Symbols">
        <cfvo type="percent" val="0"/>
        <cfvo type="num" val="3000" gte="0"/>
        <cfvo type="num" val="6000"/>
      </iconSet>
    </cfRule>
  </conditionalFormatting>
  <conditionalFormatting sqref="I1:I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menu!A1" display="Volver" xr:uid="{ECEF68EC-BB86-47EE-B0F0-A293ECFB4325}"/>
  </hyperlink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D6F39D-38C1-441B-9F30-C5B69B4405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1514-CB7C-4170-8E7A-4CE12E99F589}">
  <dimension ref="A1:P15"/>
  <sheetViews>
    <sheetView zoomScale="115" zoomScaleNormal="115" workbookViewId="0">
      <selection activeCell="C10" sqref="C10"/>
    </sheetView>
  </sheetViews>
  <sheetFormatPr baseColWidth="10" defaultRowHeight="15" x14ac:dyDescent="0.25"/>
  <cols>
    <col min="1" max="1" width="17.5703125" bestFit="1" customWidth="1"/>
    <col min="2" max="2" width="31.5703125" bestFit="1" customWidth="1"/>
    <col min="3" max="3" width="12.5703125" style="20" bestFit="1" customWidth="1"/>
    <col min="4" max="4" width="19.7109375" bestFit="1" customWidth="1"/>
    <col min="5" max="5" width="18.85546875" style="20" bestFit="1" customWidth="1"/>
    <col min="6" max="6" width="12.5703125" style="20" bestFit="1" customWidth="1"/>
    <col min="7" max="7" width="17.5703125" style="20" bestFit="1" customWidth="1"/>
    <col min="8" max="8" width="15.85546875" bestFit="1" customWidth="1"/>
    <col min="9" max="9" width="17.5703125" style="20" bestFit="1" customWidth="1"/>
    <col min="10" max="10" width="17" style="20" bestFit="1" customWidth="1"/>
    <col min="11" max="11" width="22.5703125" style="20" bestFit="1" customWidth="1"/>
    <col min="12" max="12" width="13" style="20" bestFit="1" customWidth="1"/>
    <col min="13" max="13" width="9" style="20" bestFit="1" customWidth="1"/>
    <col min="14" max="14" width="17" bestFit="1" customWidth="1"/>
    <col min="15" max="15" width="13.28515625" style="20" bestFit="1" customWidth="1"/>
    <col min="16" max="16" width="10.5703125" style="20" bestFit="1" customWidth="1"/>
  </cols>
  <sheetData>
    <row r="1" spans="1:16" x14ac:dyDescent="0.25">
      <c r="A1" s="72" t="s">
        <v>38</v>
      </c>
      <c r="B1" t="s">
        <v>151</v>
      </c>
      <c r="C1"/>
      <c r="E1"/>
      <c r="F1"/>
      <c r="G1"/>
      <c r="I1"/>
      <c r="J1"/>
      <c r="K1"/>
      <c r="L1"/>
      <c r="M1"/>
      <c r="O1"/>
      <c r="P1"/>
    </row>
    <row r="2" spans="1:16" x14ac:dyDescent="0.25">
      <c r="C2"/>
      <c r="E2"/>
      <c r="F2"/>
      <c r="G2"/>
      <c r="I2"/>
      <c r="J2"/>
      <c r="K2"/>
      <c r="L2"/>
      <c r="M2"/>
      <c r="O2"/>
      <c r="P2"/>
    </row>
    <row r="3" spans="1:16" x14ac:dyDescent="0.25">
      <c r="B3" s="72" t="s">
        <v>188</v>
      </c>
      <c r="C3" s="74"/>
      <c r="E3"/>
      <c r="F3"/>
      <c r="G3"/>
      <c r="I3"/>
      <c r="J3"/>
      <c r="K3"/>
      <c r="L3"/>
      <c r="M3"/>
      <c r="O3"/>
      <c r="P3"/>
    </row>
    <row r="4" spans="1:16" x14ac:dyDescent="0.25">
      <c r="A4" s="72" t="s">
        <v>186</v>
      </c>
      <c r="B4" t="s">
        <v>44</v>
      </c>
      <c r="C4" t="s">
        <v>187</v>
      </c>
      <c r="E4"/>
      <c r="F4"/>
      <c r="G4"/>
      <c r="I4"/>
      <c r="J4"/>
      <c r="K4"/>
      <c r="L4"/>
      <c r="M4"/>
      <c r="O4"/>
      <c r="P4"/>
    </row>
    <row r="5" spans="1:16" x14ac:dyDescent="0.25">
      <c r="A5" s="73" t="s">
        <v>143</v>
      </c>
      <c r="B5" s="46"/>
      <c r="C5" s="46"/>
      <c r="E5"/>
      <c r="F5"/>
      <c r="G5"/>
      <c r="I5"/>
      <c r="J5"/>
      <c r="K5"/>
      <c r="L5"/>
      <c r="M5"/>
      <c r="O5"/>
      <c r="P5"/>
    </row>
    <row r="6" spans="1:16" x14ac:dyDescent="0.25">
      <c r="A6" s="73" t="s">
        <v>187</v>
      </c>
      <c r="B6" s="46"/>
      <c r="C6" s="46"/>
      <c r="E6"/>
      <c r="F6"/>
      <c r="G6"/>
      <c r="I6"/>
      <c r="J6"/>
      <c r="K6"/>
      <c r="L6"/>
      <c r="M6"/>
      <c r="O6"/>
      <c r="P6"/>
    </row>
    <row r="7" spans="1:16" x14ac:dyDescent="0.25">
      <c r="C7"/>
      <c r="E7"/>
      <c r="F7"/>
      <c r="G7"/>
      <c r="I7"/>
      <c r="J7"/>
      <c r="K7"/>
      <c r="L7"/>
      <c r="M7"/>
      <c r="O7"/>
      <c r="P7"/>
    </row>
    <row r="8" spans="1:16" x14ac:dyDescent="0.25">
      <c r="C8"/>
      <c r="E8"/>
      <c r="F8"/>
      <c r="G8"/>
      <c r="I8"/>
      <c r="J8"/>
      <c r="K8"/>
      <c r="L8"/>
      <c r="M8"/>
      <c r="O8"/>
      <c r="P8"/>
    </row>
    <row r="9" spans="1:16" x14ac:dyDescent="0.25">
      <c r="C9"/>
      <c r="E9"/>
      <c r="F9"/>
      <c r="G9"/>
      <c r="I9"/>
      <c r="J9"/>
      <c r="K9"/>
      <c r="L9"/>
      <c r="M9"/>
      <c r="O9"/>
      <c r="P9"/>
    </row>
    <row r="10" spans="1:16" x14ac:dyDescent="0.25">
      <c r="C10"/>
      <c r="E10"/>
      <c r="F10"/>
      <c r="G10"/>
      <c r="I10"/>
      <c r="J10"/>
      <c r="K10"/>
      <c r="L10"/>
      <c r="M10"/>
      <c r="O10"/>
      <c r="P10"/>
    </row>
    <row r="11" spans="1:16" x14ac:dyDescent="0.25">
      <c r="C11"/>
      <c r="E11"/>
      <c r="F11"/>
      <c r="G11"/>
      <c r="I11"/>
      <c r="J11"/>
      <c r="K11"/>
      <c r="L11"/>
      <c r="M11"/>
      <c r="O11"/>
      <c r="P11"/>
    </row>
    <row r="12" spans="1:16" x14ac:dyDescent="0.25">
      <c r="C12"/>
      <c r="E12"/>
      <c r="F12"/>
      <c r="G12"/>
      <c r="I12"/>
      <c r="J12"/>
      <c r="K12"/>
      <c r="L12"/>
      <c r="M12"/>
      <c r="O12"/>
      <c r="P12"/>
    </row>
    <row r="13" spans="1:16" x14ac:dyDescent="0.25">
      <c r="C13"/>
      <c r="E13"/>
      <c r="F13"/>
      <c r="G13"/>
      <c r="I13"/>
      <c r="J13"/>
      <c r="K13"/>
      <c r="L13"/>
      <c r="M13"/>
      <c r="O13"/>
      <c r="P13"/>
    </row>
    <row r="14" spans="1:16" x14ac:dyDescent="0.25">
      <c r="C14"/>
      <c r="E14"/>
      <c r="F14"/>
      <c r="G14"/>
      <c r="I14"/>
      <c r="J14"/>
      <c r="K14"/>
      <c r="L14"/>
      <c r="M14"/>
      <c r="O14"/>
      <c r="P14"/>
    </row>
    <row r="15" spans="1:16" x14ac:dyDescent="0.25">
      <c r="C15"/>
      <c r="E15"/>
      <c r="F15"/>
      <c r="G15"/>
      <c r="K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tabSelected="1" zoomScaleNormal="100" workbookViewId="0">
      <pane ySplit="1" topLeftCell="A2" activePane="bottomLeft" state="frozen"/>
      <selection pane="bottomLeft" activeCell="G7" sqref="G7"/>
    </sheetView>
  </sheetViews>
  <sheetFormatPr baseColWidth="10" defaultRowHeight="15" x14ac:dyDescent="0.25"/>
  <cols>
    <col min="1" max="1" width="11" customWidth="1"/>
    <col min="2" max="2" width="9.7109375" style="28" bestFit="1" customWidth="1"/>
    <col min="3" max="3" width="12.140625" style="28" bestFit="1" customWidth="1"/>
    <col min="4" max="4" width="11.28515625" style="28" bestFit="1" customWidth="1"/>
    <col min="5" max="5" width="11.140625" style="28" bestFit="1" customWidth="1"/>
    <col min="6" max="6" width="13.7109375" style="28" bestFit="1" customWidth="1"/>
    <col min="7" max="7" width="14" style="28" bestFit="1" customWidth="1"/>
    <col min="8" max="8" width="15.5703125" style="28" bestFit="1" customWidth="1"/>
    <col min="9" max="9" width="2.5703125" customWidth="1"/>
    <col min="10" max="10" width="11.140625" bestFit="1" customWidth="1"/>
    <col min="11" max="11" width="15.5703125" bestFit="1" customWidth="1"/>
  </cols>
  <sheetData>
    <row r="1" spans="1:11" ht="17.25" customHeight="1" x14ac:dyDescent="0.25">
      <c r="A1" s="42" t="s">
        <v>136</v>
      </c>
      <c r="B1" s="26" t="s">
        <v>49</v>
      </c>
      <c r="C1" s="26" t="s">
        <v>45</v>
      </c>
      <c r="D1" s="26" t="s">
        <v>46</v>
      </c>
      <c r="E1" s="26" t="s">
        <v>47</v>
      </c>
      <c r="F1" s="26" t="s">
        <v>39</v>
      </c>
      <c r="G1" s="26" t="s">
        <v>48</v>
      </c>
      <c r="H1" s="26" t="s">
        <v>64</v>
      </c>
      <c r="J1" s="6" t="s">
        <v>65</v>
      </c>
      <c r="K1" s="23" t="s">
        <v>95</v>
      </c>
    </row>
    <row r="2" spans="1:11" x14ac:dyDescent="0.25">
      <c r="B2" s="66" t="s">
        <v>50</v>
      </c>
      <c r="C2" s="66">
        <v>1</v>
      </c>
      <c r="D2" s="66">
        <v>2</v>
      </c>
      <c r="E2" s="66">
        <v>2</v>
      </c>
      <c r="F2" s="67">
        <v>56000</v>
      </c>
      <c r="G2" s="27">
        <f>tabla_ventas[[#This Row],[Cantidad]]*tabla_ventas[[#This Row],[Precio]]</f>
        <v>112000</v>
      </c>
      <c r="H2" s="67">
        <f>tabla_ventas[[#This Row],[Total]]*iva_ventas</f>
        <v>135520</v>
      </c>
      <c r="J2" s="9" t="s">
        <v>67</v>
      </c>
      <c r="K2" s="24" t="s">
        <v>68</v>
      </c>
    </row>
    <row r="3" spans="1:11" x14ac:dyDescent="0.25">
      <c r="B3" s="66" t="s">
        <v>51</v>
      </c>
      <c r="C3" s="66">
        <v>2</v>
      </c>
      <c r="D3" s="66">
        <v>5</v>
      </c>
      <c r="E3" s="66">
        <v>1</v>
      </c>
      <c r="F3" s="67">
        <v>85750</v>
      </c>
      <c r="G3" s="27">
        <f>tabla_ventas[[#This Row],[Cantidad]]*tabla_ventas[[#This Row],[Precio]]</f>
        <v>85750</v>
      </c>
      <c r="H3" s="67">
        <f>tabla_ventas[[#This Row],[Total]]*iva_ventas</f>
        <v>103757.5</v>
      </c>
      <c r="J3" s="12" t="s">
        <v>171</v>
      </c>
      <c r="K3" s="25">
        <f>COUNT($C:$C)</f>
        <v>22</v>
      </c>
    </row>
    <row r="4" spans="1:11" x14ac:dyDescent="0.25">
      <c r="B4" s="66" t="s">
        <v>52</v>
      </c>
      <c r="C4" s="66">
        <v>6</v>
      </c>
      <c r="D4" s="66">
        <v>4</v>
      </c>
      <c r="E4" s="66">
        <v>3</v>
      </c>
      <c r="F4" s="67">
        <v>35500</v>
      </c>
      <c r="G4" s="27">
        <f>tabla_ventas[[#This Row],[Cantidad]]*tabla_ventas[[#This Row],[Precio]]</f>
        <v>106500</v>
      </c>
      <c r="H4" s="67">
        <f>tabla_ventas[[#This Row],[Total]]*iva_ventas</f>
        <v>128865</v>
      </c>
      <c r="J4" s="9" t="s">
        <v>168</v>
      </c>
      <c r="K4" s="11">
        <f>SUM($G:$G)</f>
        <v>5360469.9399999995</v>
      </c>
    </row>
    <row r="5" spans="1:11" x14ac:dyDescent="0.25">
      <c r="B5" s="66" t="s">
        <v>53</v>
      </c>
      <c r="C5" s="66">
        <v>4</v>
      </c>
      <c r="D5" s="66">
        <v>3</v>
      </c>
      <c r="E5" s="66">
        <v>4</v>
      </c>
      <c r="F5" s="67">
        <v>124999.99</v>
      </c>
      <c r="G5" s="27">
        <f>tabla_ventas[[#This Row],[Cantidad]]*tabla_ventas[[#This Row],[Precio]]</f>
        <v>499999.96</v>
      </c>
      <c r="H5" s="67">
        <f>tabla_ventas[[#This Row],[Total]]*iva_ventas</f>
        <v>604999.95160000003</v>
      </c>
      <c r="J5" s="12" t="s">
        <v>166</v>
      </c>
      <c r="K5" s="14">
        <f>AVERAGE($G:$G)</f>
        <v>223352.91416666665</v>
      </c>
    </row>
    <row r="6" spans="1:11" x14ac:dyDescent="0.25">
      <c r="B6" s="66" t="s">
        <v>182</v>
      </c>
      <c r="C6" s="66">
        <v>4</v>
      </c>
      <c r="D6" s="66">
        <v>8</v>
      </c>
      <c r="E6" s="66">
        <v>4</v>
      </c>
      <c r="F6" s="2">
        <v>200530</v>
      </c>
      <c r="G6" s="27">
        <f>tabla_ventas[[#This Row],[Cantidad]]*tabla_ventas[[#This Row],[Precio]]</f>
        <v>802120</v>
      </c>
      <c r="H6" s="67">
        <f>tabla_ventas[[#This Row],[Total]]*iva_ventas</f>
        <v>970565.2</v>
      </c>
      <c r="J6" s="9" t="s">
        <v>167</v>
      </c>
      <c r="K6" s="11">
        <f>MEDIAN($G:$G)</f>
        <v>112000</v>
      </c>
    </row>
    <row r="7" spans="1:11" x14ac:dyDescent="0.25">
      <c r="B7" s="66" t="s">
        <v>183</v>
      </c>
      <c r="C7" s="66">
        <v>2</v>
      </c>
      <c r="D7" s="66">
        <v>9</v>
      </c>
      <c r="E7" s="66">
        <v>3</v>
      </c>
      <c r="F7" s="2">
        <v>156000</v>
      </c>
      <c r="G7" s="27">
        <f>tabla_ventas[[#This Row],[Cantidad]]*tabla_ventas[[#This Row],[Precio]]</f>
        <v>468000</v>
      </c>
      <c r="H7" s="67">
        <f>tabla_ventas[[#This Row],[Total]]*iva_ventas</f>
        <v>566280</v>
      </c>
      <c r="J7" s="49" t="s">
        <v>169</v>
      </c>
      <c r="K7" s="2">
        <f>MIN(tabla_ventas[Total])</f>
        <v>0</v>
      </c>
    </row>
    <row r="8" spans="1:11" x14ac:dyDescent="0.25">
      <c r="B8" s="66" t="s">
        <v>184</v>
      </c>
      <c r="C8" s="66">
        <v>5</v>
      </c>
      <c r="D8" s="66">
        <v>10</v>
      </c>
      <c r="E8" s="66">
        <v>2</v>
      </c>
      <c r="F8" s="2">
        <v>189500</v>
      </c>
      <c r="G8" s="27">
        <f>tabla_ventas[[#This Row],[Cantidad]]*tabla_ventas[[#This Row],[Precio]]</f>
        <v>379000</v>
      </c>
      <c r="H8" s="67">
        <f>tabla_ventas[[#This Row],[Total]]*iva_ventas</f>
        <v>458590</v>
      </c>
      <c r="J8" s="9" t="s">
        <v>170</v>
      </c>
      <c r="K8" s="50">
        <f>MAX(tabla_ventas[Total])</f>
        <v>947500</v>
      </c>
    </row>
    <row r="9" spans="1:11" x14ac:dyDescent="0.25">
      <c r="B9" s="66" t="s">
        <v>185</v>
      </c>
      <c r="C9" s="66">
        <v>5</v>
      </c>
      <c r="D9" s="66">
        <v>11</v>
      </c>
      <c r="E9" s="66">
        <v>4</v>
      </c>
      <c r="F9" s="2">
        <v>1650</v>
      </c>
      <c r="G9" s="27">
        <f>tabla_ventas[[#This Row],[Cantidad]]*tabla_ventas[[#This Row],[Precio]]</f>
        <v>6600</v>
      </c>
      <c r="H9" s="67">
        <f>tabla_ventas[[#This Row],[Total]]*iva_ventas</f>
        <v>7986</v>
      </c>
      <c r="J9" s="12" t="s">
        <v>45</v>
      </c>
      <c r="K9" s="25">
        <f>MODE($C:$C)</f>
        <v>1</v>
      </c>
    </row>
    <row r="10" spans="1:11" x14ac:dyDescent="0.25">
      <c r="B10" s="66" t="s">
        <v>54</v>
      </c>
      <c r="C10" s="66">
        <v>1</v>
      </c>
      <c r="D10" s="66">
        <v>2</v>
      </c>
      <c r="E10" s="66">
        <v>2</v>
      </c>
      <c r="F10" s="67">
        <v>56000</v>
      </c>
      <c r="G10" s="27">
        <f>tabla_ventas[[#This Row],[Cantidad]]*tabla_ventas[[#This Row],[Precio]]</f>
        <v>112000</v>
      </c>
      <c r="H10" s="67">
        <f>tabla_ventas[[#This Row],[Total]]*iva_ventas</f>
        <v>135520</v>
      </c>
      <c r="J10" s="4" t="s">
        <v>46</v>
      </c>
      <c r="K10" s="16">
        <f>MODE($D:$D)</f>
        <v>2</v>
      </c>
    </row>
    <row r="11" spans="1:11" x14ac:dyDescent="0.25">
      <c r="B11" s="66" t="s">
        <v>55</v>
      </c>
      <c r="C11" s="66">
        <v>6</v>
      </c>
      <c r="D11" s="66">
        <v>1</v>
      </c>
      <c r="E11" s="66">
        <v>1</v>
      </c>
      <c r="F11" s="67">
        <v>25000</v>
      </c>
      <c r="G11" s="27">
        <f>tabla_ventas[[#This Row],[Cantidad]]*tabla_ventas[[#This Row],[Precio]]</f>
        <v>25000</v>
      </c>
      <c r="H11" s="67">
        <f>tabla_ventas[[#This Row],[Total]]*iva_ventas</f>
        <v>30250</v>
      </c>
    </row>
    <row r="12" spans="1:11" x14ac:dyDescent="0.25">
      <c r="B12" s="66" t="s">
        <v>56</v>
      </c>
      <c r="C12" s="66">
        <v>3</v>
      </c>
      <c r="D12" s="66">
        <v>2</v>
      </c>
      <c r="E12" s="66">
        <v>3</v>
      </c>
      <c r="F12" s="67">
        <v>56000</v>
      </c>
      <c r="G12" s="27">
        <f>tabla_ventas[[#This Row],[Cantidad]]*tabla_ventas[[#This Row],[Precio]]</f>
        <v>168000</v>
      </c>
      <c r="H12" s="67">
        <f>tabla_ventas[[#This Row],[Total]]*iva_ventas</f>
        <v>203280</v>
      </c>
    </row>
    <row r="13" spans="1:11" x14ac:dyDescent="0.25">
      <c r="B13" s="66" t="s">
        <v>57</v>
      </c>
      <c r="C13" s="66">
        <v>2</v>
      </c>
      <c r="D13" s="66">
        <v>3</v>
      </c>
      <c r="E13" s="66">
        <v>2</v>
      </c>
      <c r="F13" s="67">
        <v>124999.99</v>
      </c>
      <c r="G13" s="27">
        <f>tabla_ventas[[#This Row],[Cantidad]]*tabla_ventas[[#This Row],[Precio]]</f>
        <v>249999.98</v>
      </c>
      <c r="H13" s="67">
        <f>tabla_ventas[[#This Row],[Total]]*iva_ventas</f>
        <v>302499.97580000001</v>
      </c>
    </row>
    <row r="14" spans="1:11" x14ac:dyDescent="0.25">
      <c r="B14" s="66" t="s">
        <v>58</v>
      </c>
      <c r="C14" s="66">
        <v>5</v>
      </c>
      <c r="D14" s="66">
        <v>4</v>
      </c>
      <c r="E14" s="66">
        <v>1</v>
      </c>
      <c r="F14" s="67">
        <v>35500</v>
      </c>
      <c r="G14" s="27">
        <f>tabla_ventas[[#This Row],[Cantidad]]*tabla_ventas[[#This Row],[Precio]]</f>
        <v>35500</v>
      </c>
      <c r="H14" s="67">
        <f>tabla_ventas[[#This Row],[Total]]*iva_ventas</f>
        <v>42955</v>
      </c>
    </row>
    <row r="15" spans="1:11" x14ac:dyDescent="0.25">
      <c r="B15" s="66" t="s">
        <v>59</v>
      </c>
      <c r="C15" s="66">
        <v>2</v>
      </c>
      <c r="D15" s="66">
        <v>5</v>
      </c>
      <c r="E15" s="66">
        <v>4</v>
      </c>
      <c r="F15" s="67">
        <v>85750</v>
      </c>
      <c r="G15" s="27">
        <f>tabla_ventas[[#This Row],[Cantidad]]*tabla_ventas[[#This Row],[Precio]]</f>
        <v>343000</v>
      </c>
      <c r="H15" s="67">
        <f>tabla_ventas[[#This Row],[Total]]*iva_ventas</f>
        <v>415030</v>
      </c>
    </row>
    <row r="16" spans="1:11" x14ac:dyDescent="0.25">
      <c r="B16" s="66" t="s">
        <v>60</v>
      </c>
      <c r="C16" s="66">
        <v>7</v>
      </c>
      <c r="D16" s="66">
        <v>2</v>
      </c>
      <c r="E16" s="66">
        <v>2</v>
      </c>
      <c r="F16" s="67">
        <v>56000</v>
      </c>
      <c r="G16" s="27">
        <f>tabla_ventas[[#This Row],[Cantidad]]*tabla_ventas[[#This Row],[Precio]]</f>
        <v>112000</v>
      </c>
      <c r="H16" s="67">
        <f>tabla_ventas[[#This Row],[Total]]*iva_ventas</f>
        <v>135520</v>
      </c>
    </row>
    <row r="17" spans="2:8" x14ac:dyDescent="0.25">
      <c r="B17" s="66" t="s">
        <v>61</v>
      </c>
      <c r="C17" s="66">
        <v>8</v>
      </c>
      <c r="D17" s="66">
        <v>1</v>
      </c>
      <c r="E17" s="66">
        <v>3</v>
      </c>
      <c r="F17" s="67">
        <v>25000</v>
      </c>
      <c r="G17" s="27">
        <f>tabla_ventas[[#This Row],[Cantidad]]*tabla_ventas[[#This Row],[Precio]]</f>
        <v>75000</v>
      </c>
      <c r="H17" s="67">
        <f>tabla_ventas[[#This Row],[Total]]*iva_ventas</f>
        <v>90750</v>
      </c>
    </row>
    <row r="18" spans="2:8" x14ac:dyDescent="0.25">
      <c r="B18" s="66" t="s">
        <v>62</v>
      </c>
      <c r="C18" s="66">
        <v>1</v>
      </c>
      <c r="D18" s="66">
        <v>2</v>
      </c>
      <c r="E18" s="66">
        <v>1</v>
      </c>
      <c r="F18" s="67">
        <v>56000</v>
      </c>
      <c r="G18" s="27">
        <f>tabla_ventas[[#This Row],[Cantidad]]*tabla_ventas[[#This Row],[Precio]]</f>
        <v>56000</v>
      </c>
      <c r="H18" s="67">
        <f>tabla_ventas[[#This Row],[Total]]*iva_ventas</f>
        <v>67760</v>
      </c>
    </row>
    <row r="19" spans="2:8" x14ac:dyDescent="0.25">
      <c r="B19" s="66" t="s">
        <v>63</v>
      </c>
      <c r="C19" s="66">
        <v>8</v>
      </c>
      <c r="D19" s="66">
        <v>5</v>
      </c>
      <c r="E19" s="66">
        <v>2</v>
      </c>
      <c r="F19" s="67">
        <v>85750</v>
      </c>
      <c r="G19" s="27">
        <f>tabla_ventas[[#This Row],[Cantidad]]*tabla_ventas[[#This Row],[Precio]]</f>
        <v>171500</v>
      </c>
      <c r="H19" s="67">
        <f>tabla_ventas[[#This Row],[Total]]*iva_ventas</f>
        <v>207515</v>
      </c>
    </row>
    <row r="20" spans="2:8" x14ac:dyDescent="0.25">
      <c r="B20" s="66" t="s">
        <v>66</v>
      </c>
      <c r="C20" s="66">
        <v>1</v>
      </c>
      <c r="D20" s="66">
        <v>2</v>
      </c>
      <c r="E20" s="66">
        <v>2</v>
      </c>
      <c r="F20" s="67">
        <v>56000</v>
      </c>
      <c r="G20" s="27">
        <f>tabla_ventas[[#This Row],[Cantidad]]*tabla_ventas[[#This Row],[Precio]]</f>
        <v>112000</v>
      </c>
      <c r="H20" s="67">
        <f>tabla_ventas[[#This Row],[Total]]*iva_ventas</f>
        <v>135520</v>
      </c>
    </row>
    <row r="21" spans="2:8" x14ac:dyDescent="0.25">
      <c r="B21" s="66" t="s">
        <v>175</v>
      </c>
      <c r="C21" s="66">
        <v>6</v>
      </c>
      <c r="D21" s="66">
        <v>6</v>
      </c>
      <c r="E21" s="66">
        <v>6</v>
      </c>
      <c r="F21" s="67">
        <v>35500</v>
      </c>
      <c r="G21" s="27">
        <f>tabla_ventas[[#This Row],[Cantidad]]*tabla_ventas[[#This Row],[Precio]]</f>
        <v>213000</v>
      </c>
      <c r="H21" s="67">
        <f>tabla_ventas[[#This Row],[Total]]*iva_ventas</f>
        <v>257730</v>
      </c>
    </row>
    <row r="22" spans="2:8" x14ac:dyDescent="0.25">
      <c r="B22" s="66" t="s">
        <v>178</v>
      </c>
      <c r="C22" s="66">
        <v>4</v>
      </c>
      <c r="D22" s="66">
        <v>2</v>
      </c>
      <c r="E22" s="66">
        <v>5</v>
      </c>
      <c r="F22" s="67">
        <v>56000</v>
      </c>
      <c r="G22" s="27">
        <f>tabla_ventas[[#This Row],[Cantidad]]*tabla_ventas[[#This Row],[Precio]]</f>
        <v>280000</v>
      </c>
      <c r="H22" s="67">
        <f>tabla_ventas[[#This Row],[Total]]*iva_ventas</f>
        <v>338800</v>
      </c>
    </row>
    <row r="23" spans="2:8" x14ac:dyDescent="0.25">
      <c r="B23" s="66" t="s">
        <v>179</v>
      </c>
      <c r="C23" s="66">
        <v>1</v>
      </c>
      <c r="D23" s="66">
        <v>10</v>
      </c>
      <c r="E23" s="66">
        <v>5</v>
      </c>
      <c r="F23" s="67">
        <v>189500</v>
      </c>
      <c r="G23" s="27">
        <f>tabla_ventas[[#This Row],[Cantidad]]*tabla_ventas[[#This Row],[Precio]]</f>
        <v>947500</v>
      </c>
      <c r="H23" s="67">
        <f>tabla_ventas[[#This Row],[Total]]*iva_ventas</f>
        <v>1146475</v>
      </c>
    </row>
    <row r="24" spans="2:8" x14ac:dyDescent="0.25">
      <c r="B24" s="66" t="s">
        <v>180</v>
      </c>
      <c r="C24" s="66"/>
      <c r="D24" s="66"/>
      <c r="E24" s="66"/>
      <c r="F24" s="67"/>
      <c r="G24" s="27">
        <f>tabla_ventas[[#This Row],[Cantidad]]*tabla_ventas[[#This Row],[Precio]]</f>
        <v>0</v>
      </c>
      <c r="H24" s="67">
        <f>tabla_ventas[[#This Row],[Total]]*iva_ventas</f>
        <v>0</v>
      </c>
    </row>
    <row r="25" spans="2:8" x14ac:dyDescent="0.25">
      <c r="B25" s="66" t="s">
        <v>181</v>
      </c>
      <c r="C25" s="66"/>
      <c r="D25" s="66"/>
      <c r="E25" s="66"/>
      <c r="F25" s="67"/>
      <c r="G25" s="27">
        <f>tabla_ventas[[#This Row],[Cantidad]]*tabla_ventas[[#This Row],[Precio]]</f>
        <v>0</v>
      </c>
      <c r="H25" s="67">
        <f>tabla_ventas[[#This Row],[Total]]*iva_ventas</f>
        <v>0</v>
      </c>
    </row>
  </sheetData>
  <phoneticPr fontId="4" type="noConversion"/>
  <hyperlinks>
    <hyperlink ref="A1" location="menu!A1" display="Volver" xr:uid="{261F7D50-C145-4C27-AC5E-50FB264B982C}"/>
  </hyperlinks>
  <pageMargins left="0.7" right="0.7" top="0.75" bottom="0.75" header="0.3" footer="0.3"/>
  <pageSetup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760E-99C3-4188-ABA4-1CAAD0DD9EC6}">
  <dimension ref="A1"/>
  <sheetViews>
    <sheetView zoomScaleNormal="100" workbookViewId="0">
      <pane ySplit="1" topLeftCell="A3" activePane="bottomLeft" state="frozen"/>
      <selection pane="bottomLeft" activeCell="C45" sqref="C45:E53"/>
    </sheetView>
  </sheetViews>
  <sheetFormatPr baseColWidth="10" defaultRowHeight="15" x14ac:dyDescent="0.25"/>
  <cols>
    <col min="1" max="1" width="11.28515625" customWidth="1"/>
  </cols>
  <sheetData>
    <row r="1" spans="1:1" x14ac:dyDescent="0.25">
      <c r="A1" s="42" t="s">
        <v>136</v>
      </c>
    </row>
  </sheetData>
  <hyperlinks>
    <hyperlink ref="A1" location="menu!A1" display="Volver" xr:uid="{D14498A6-7B24-4ABE-88AB-4CFAB7CF46A1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menu</vt:lpstr>
      <vt:lpstr>empleados</vt:lpstr>
      <vt:lpstr>Datos</vt:lpstr>
      <vt:lpstr>presentismo</vt:lpstr>
      <vt:lpstr>productos</vt:lpstr>
      <vt:lpstr>prod_din</vt:lpstr>
      <vt:lpstr>ventas</vt:lpstr>
      <vt:lpstr>estadisticas</vt:lpstr>
      <vt:lpstr>año_actual</vt:lpstr>
      <vt:lpstr>char</vt:lpstr>
      <vt:lpstr>fecha_actual</vt:lpstr>
      <vt:lpstr>iva_ventas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2022-12-13T18:40:38Z</dcterms:created>
  <dcterms:modified xsi:type="dcterms:W3CDTF">2022-12-16T19:58:48Z</dcterms:modified>
</cp:coreProperties>
</file>