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x15\"/>
    </mc:Choice>
  </mc:AlternateContent>
  <xr:revisionPtr revIDLastSave="0" documentId="13_ncr:1_{A571A5DA-38EE-4544-A6D7-DF8E3710B1A4}" xr6:coauthVersionLast="47" xr6:coauthVersionMax="47" xr10:uidLastSave="{00000000-0000-0000-0000-000000000000}"/>
  <bookViews>
    <workbookView xWindow="-120" yWindow="-120" windowWidth="20730" windowHeight="11040" activeTab="5" xr2:uid="{3E9C49A6-A9BE-4135-BB45-FA066360A8CA}"/>
  </bookViews>
  <sheets>
    <sheet name="menu" sheetId="4" r:id="rId1"/>
    <sheet name="presentismo" sheetId="1" r:id="rId2"/>
    <sheet name="Productos" sheetId="6" r:id="rId3"/>
    <sheet name="ventas" sheetId="2" r:id="rId4"/>
    <sheet name="datos" sheetId="3" r:id="rId5"/>
    <sheet name="estadisticas" sheetId="5" r:id="rId6"/>
  </sheets>
  <definedNames>
    <definedName name="año">datos!$B$6</definedName>
    <definedName name="categoria">#N/A</definedName>
    <definedName name="char">datos!$B$2</definedName>
    <definedName name="dia">datos!$B$4</definedName>
    <definedName name="hoy">datos!$B$3</definedName>
    <definedName name="IVA">ventas!$B$2</definedName>
    <definedName name="marca">#N/A</definedName>
    <definedName name="mes">datos!$B$5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3" l="1"/>
  <c r="R9" i="3"/>
  <c r="R10" i="3"/>
  <c r="Q2" i="3"/>
  <c r="Q3" i="3"/>
  <c r="Q4" i="3"/>
  <c r="Q5" i="3"/>
  <c r="Q6" i="3"/>
  <c r="Q7" i="3"/>
  <c r="Q8" i="3"/>
  <c r="Q9" i="3"/>
  <c r="Q10" i="3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B7" i="3"/>
  <c r="B8" i="3" s="1"/>
  <c r="B3" i="3"/>
  <c r="B4" i="3" s="1"/>
  <c r="O2" i="3"/>
  <c r="H10" i="3"/>
  <c r="G10" i="3" s="1"/>
  <c r="I10" i="3"/>
  <c r="N10" i="3"/>
  <c r="O10" i="3"/>
  <c r="P10" i="3"/>
  <c r="H9" i="3"/>
  <c r="G9" i="3" s="1"/>
  <c r="I9" i="3"/>
  <c r="N9" i="3"/>
  <c r="O9" i="3"/>
  <c r="P9" i="3"/>
  <c r="O3" i="3"/>
  <c r="O4" i="3"/>
  <c r="O5" i="3"/>
  <c r="O6" i="3"/>
  <c r="O7" i="3"/>
  <c r="O8" i="3"/>
  <c r="P2" i="3"/>
  <c r="P3" i="3"/>
  <c r="P4" i="3"/>
  <c r="P5" i="3"/>
  <c r="P6" i="3"/>
  <c r="P7" i="3"/>
  <c r="P8" i="3"/>
  <c r="N2" i="3"/>
  <c r="N3" i="3"/>
  <c r="N4" i="3"/>
  <c r="N5" i="3"/>
  <c r="N6" i="3"/>
  <c r="N7" i="3"/>
  <c r="N8" i="3"/>
  <c r="E2" i="3"/>
  <c r="H2" i="3" s="1"/>
  <c r="E3" i="3"/>
  <c r="H3" i="3" s="1"/>
  <c r="E4" i="3"/>
  <c r="H4" i="3" s="1"/>
  <c r="E5" i="3"/>
  <c r="E6" i="3"/>
  <c r="H6" i="3" s="1"/>
  <c r="E7" i="3"/>
  <c r="H7" i="3" s="1"/>
  <c r="E8" i="3"/>
  <c r="I16" i="2"/>
  <c r="J16" i="2" s="1"/>
  <c r="K16" i="2" s="1"/>
  <c r="B4" i="2"/>
  <c r="B5" i="2"/>
  <c r="B6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E9" i="1"/>
  <c r="F9" i="1"/>
  <c r="AJ4" i="1"/>
  <c r="AJ2" i="1"/>
  <c r="AK2" i="1"/>
  <c r="AJ3" i="1"/>
  <c r="AK3" i="1"/>
  <c r="AK4" i="1"/>
  <c r="AJ5" i="1"/>
  <c r="AK5" i="1"/>
  <c r="AJ7" i="1"/>
  <c r="AK7" i="1"/>
  <c r="AJ8" i="1"/>
  <c r="AK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6" i="1"/>
  <c r="AK6" i="1" s="1"/>
  <c r="B3" i="2" l="1"/>
  <c r="B22" i="2"/>
  <c r="B10" i="2"/>
  <c r="R4" i="3"/>
  <c r="R5" i="3"/>
  <c r="R7" i="3"/>
  <c r="R3" i="3"/>
  <c r="R6" i="3"/>
  <c r="R2" i="3"/>
  <c r="B9" i="3"/>
  <c r="C6" i="1"/>
  <c r="K9" i="3"/>
  <c r="K5" i="3"/>
  <c r="K8" i="3"/>
  <c r="K4" i="3"/>
  <c r="K7" i="3"/>
  <c r="K3" i="3"/>
  <c r="K10" i="3"/>
  <c r="K6" i="3"/>
  <c r="K2" i="3"/>
  <c r="B10" i="3"/>
  <c r="B6" i="3"/>
  <c r="B5" i="3"/>
  <c r="G4" i="3"/>
  <c r="G6" i="3"/>
  <c r="G3" i="3"/>
  <c r="G7" i="3"/>
  <c r="G2" i="3"/>
  <c r="H8" i="3"/>
  <c r="G8" i="3" s="1"/>
  <c r="F10" i="3"/>
  <c r="H5" i="3"/>
  <c r="G5" i="3" s="1"/>
  <c r="I5" i="3"/>
  <c r="I7" i="3"/>
  <c r="F7" i="3" s="1"/>
  <c r="I3" i="3"/>
  <c r="F3" i="3" s="1"/>
  <c r="I8" i="3"/>
  <c r="F9" i="3"/>
  <c r="I6" i="3"/>
  <c r="F6" i="3" s="1"/>
  <c r="I4" i="3"/>
  <c r="I2" i="3"/>
  <c r="F2" i="3" s="1"/>
  <c r="B9" i="2"/>
  <c r="B8" i="2"/>
  <c r="B7" i="2"/>
  <c r="K13" i="2"/>
  <c r="K9" i="2"/>
  <c r="K5" i="2"/>
  <c r="K12" i="2"/>
  <c r="K8" i="2"/>
  <c r="K4" i="2"/>
  <c r="K15" i="2"/>
  <c r="K11" i="2"/>
  <c r="K7" i="2"/>
  <c r="K3" i="2"/>
  <c r="K14" i="2"/>
  <c r="K10" i="2"/>
  <c r="K6" i="2"/>
  <c r="K2" i="2"/>
  <c r="AI9" i="1"/>
  <c r="C9" i="1"/>
  <c r="C7" i="1"/>
  <c r="C8" i="1"/>
  <c r="C3" i="1"/>
  <c r="AK9" i="1"/>
  <c r="AJ6" i="1"/>
  <c r="B8" i="1" s="1"/>
  <c r="C5" i="1"/>
  <c r="C4" i="1"/>
  <c r="L2" i="3" l="1"/>
  <c r="L6" i="3"/>
  <c r="L10" i="3"/>
  <c r="L3" i="3"/>
  <c r="L7" i="3"/>
  <c r="L4" i="3"/>
  <c r="L8" i="3"/>
  <c r="L5" i="3"/>
  <c r="L9" i="3"/>
  <c r="F8" i="3"/>
  <c r="F5" i="3"/>
  <c r="F4" i="3"/>
  <c r="B7" i="1"/>
  <c r="B9" i="1"/>
  <c r="AJ9" i="1"/>
  <c r="B6" i="1"/>
  <c r="B3" i="1"/>
  <c r="B5" i="1"/>
  <c r="B4" i="1"/>
</calcChain>
</file>

<file path=xl/sharedStrings.xml><?xml version="1.0" encoding="utf-8"?>
<sst xmlns="http://schemas.openxmlformats.org/spreadsheetml/2006/main" count="411" uniqueCount="194">
  <si>
    <t>Empleado</t>
  </si>
  <si>
    <t>Martinez, Mariano</t>
  </si>
  <si>
    <t>Francisca, Casas</t>
  </si>
  <si>
    <t>Juan, Perez</t>
  </si>
  <si>
    <t>Gonzalez, Gonzalo</t>
  </si>
  <si>
    <t>1/9/22</t>
  </si>
  <si>
    <t>2/9/22</t>
  </si>
  <si>
    <t>3/9/22</t>
  </si>
  <si>
    <t>4/9/22</t>
  </si>
  <si>
    <t>5/9/22</t>
  </si>
  <si>
    <t>6/9/22</t>
  </si>
  <si>
    <t>7/9/22</t>
  </si>
  <si>
    <t>8/9/22</t>
  </si>
  <si>
    <t>9/9/22</t>
  </si>
  <si>
    <t>10/9/22</t>
  </si>
  <si>
    <t>11/9/22</t>
  </si>
  <si>
    <t>12/9/22</t>
  </si>
  <si>
    <t>13/9/22</t>
  </si>
  <si>
    <t>14/9/22</t>
  </si>
  <si>
    <t>15/9/22</t>
  </si>
  <si>
    <t>16/9/22</t>
  </si>
  <si>
    <t>17/9/22</t>
  </si>
  <si>
    <t>18/9/22</t>
  </si>
  <si>
    <t>19/9/22</t>
  </si>
  <si>
    <t>20/9/22</t>
  </si>
  <si>
    <t>21/9/22</t>
  </si>
  <si>
    <t>22/9/22</t>
  </si>
  <si>
    <t>23/9/22</t>
  </si>
  <si>
    <t>24/9/22</t>
  </si>
  <si>
    <t>25/9/22</t>
  </si>
  <si>
    <t>26/9/22</t>
  </si>
  <si>
    <t>27/9/22</t>
  </si>
  <si>
    <t>28/9/22</t>
  </si>
  <si>
    <t>29/9/22</t>
  </si>
  <si>
    <t>30/9/22</t>
  </si>
  <si>
    <t>asist</t>
  </si>
  <si>
    <t>aus</t>
  </si>
  <si>
    <t>p</t>
  </si>
  <si>
    <t>Estadisticas</t>
  </si>
  <si>
    <t>promedio</t>
  </si>
  <si>
    <t>mediana</t>
  </si>
  <si>
    <t>cantidad</t>
  </si>
  <si>
    <t>total</t>
  </si>
  <si>
    <t>codigo</t>
  </si>
  <si>
    <t>precio</t>
  </si>
  <si>
    <t>iva</t>
  </si>
  <si>
    <t>valor iva</t>
  </si>
  <si>
    <t>MAX</t>
  </si>
  <si>
    <t>MIN</t>
  </si>
  <si>
    <t>PROMEDIO</t>
  </si>
  <si>
    <t>MEDIANA</t>
  </si>
  <si>
    <t>MODA</t>
  </si>
  <si>
    <t>CONTAR</t>
  </si>
  <si>
    <t>SUMA</t>
  </si>
  <si>
    <t>final</t>
  </si>
  <si>
    <t>ventas</t>
  </si>
  <si>
    <t>N°</t>
  </si>
  <si>
    <t>min total</t>
  </si>
  <si>
    <t>max total</t>
  </si>
  <si>
    <t>max cant.</t>
  </si>
  <si>
    <t>moda cod.</t>
  </si>
  <si>
    <t>CUIL</t>
  </si>
  <si>
    <t>20-35336446-5</t>
  </si>
  <si>
    <t>ID</t>
  </si>
  <si>
    <t>G</t>
  </si>
  <si>
    <t>V</t>
  </si>
  <si>
    <t>27-36806507-1</t>
  </si>
  <si>
    <t>20-27423190-3</t>
  </si>
  <si>
    <t>20-12839481-2</t>
  </si>
  <si>
    <t>27-94975900-3</t>
  </si>
  <si>
    <t>27-36873001-7</t>
  </si>
  <si>
    <t>20-24717271-9</t>
  </si>
  <si>
    <t>separador</t>
  </si>
  <si>
    <t>,</t>
  </si>
  <si>
    <t>Cristian Damian,Racedo</t>
  </si>
  <si>
    <t>Belen,    Tambella</t>
  </si>
  <si>
    <t>Romina,  Gurruchaga</t>
  </si>
  <si>
    <t>De la Cruz, Miguel</t>
  </si>
  <si>
    <t>d'Arc, Joan</t>
  </si>
  <si>
    <t>APELLIDOS</t>
  </si>
  <si>
    <t>NOMBRES</t>
  </si>
  <si>
    <t>SEPARADOR</t>
  </si>
  <si>
    <t>LARGO</t>
  </si>
  <si>
    <t>NACIMIENTO</t>
  </si>
  <si>
    <t>EDAD</t>
  </si>
  <si>
    <t>fecha</t>
  </si>
  <si>
    <t>dia</t>
  </si>
  <si>
    <t>mes</t>
  </si>
  <si>
    <t>año</t>
  </si>
  <si>
    <t>ahora</t>
  </si>
  <si>
    <t>hora</t>
  </si>
  <si>
    <t>min</t>
  </si>
  <si>
    <t>seg</t>
  </si>
  <si>
    <t>AÑOS</t>
  </si>
  <si>
    <t>20-16835460-6</t>
  </si>
  <si>
    <t>27-12850734-2</t>
  </si>
  <si>
    <t>Presentismo</t>
  </si>
  <si>
    <t>Ventas</t>
  </si>
  <si>
    <t>Datos</t>
  </si>
  <si>
    <t>Nuevo</t>
  </si>
  <si>
    <t>Atajos</t>
  </si>
  <si>
    <t>Correo</t>
  </si>
  <si>
    <t>GitHub</t>
  </si>
  <si>
    <t>Inicio</t>
  </si>
  <si>
    <t>Alumni</t>
  </si>
  <si>
    <t>Internos</t>
  </si>
  <si>
    <t>Externos</t>
  </si>
  <si>
    <t>volver al inicio</t>
  </si>
  <si>
    <t>Stats</t>
  </si>
  <si>
    <t>stock</t>
  </si>
  <si>
    <t>articulo</t>
  </si>
  <si>
    <t>situacion</t>
  </si>
  <si>
    <t>Tostadora</t>
  </si>
  <si>
    <t>Sillon</t>
  </si>
  <si>
    <t>Heladera</t>
  </si>
  <si>
    <t>Remera</t>
  </si>
  <si>
    <t>Teclado Mecanico</t>
  </si>
  <si>
    <t>Batidora</t>
  </si>
  <si>
    <t>ebook</t>
  </si>
  <si>
    <t>Jean Levis</t>
  </si>
  <si>
    <t>Categoria</t>
  </si>
  <si>
    <t>Electrodomestico</t>
  </si>
  <si>
    <t>Tecnologia</t>
  </si>
  <si>
    <t>Indumentaria</t>
  </si>
  <si>
    <t>Automotor</t>
  </si>
  <si>
    <t>Hogar</t>
  </si>
  <si>
    <t>Marca</t>
  </si>
  <si>
    <t>Phillips</t>
  </si>
  <si>
    <t>HP</t>
  </si>
  <si>
    <t>Levis</t>
  </si>
  <si>
    <t>Automovil</t>
  </si>
  <si>
    <t>Lavarropas</t>
  </si>
  <si>
    <t>Secarropas</t>
  </si>
  <si>
    <t>Campera de Jean</t>
  </si>
  <si>
    <t>Capera de Cuero</t>
  </si>
  <si>
    <t>Parabrisas</t>
  </si>
  <si>
    <t>Neumaticos</t>
  </si>
  <si>
    <t>Cubiertas</t>
  </si>
  <si>
    <t>Tablet 10"</t>
  </si>
  <si>
    <t>Mouse Inalambrico</t>
  </si>
  <si>
    <t>Monitor</t>
  </si>
  <si>
    <t>Drean</t>
  </si>
  <si>
    <t>Bross</t>
  </si>
  <si>
    <t>Fate</t>
  </si>
  <si>
    <t>Firestone</t>
  </si>
  <si>
    <t>atma</t>
  </si>
  <si>
    <t>samsung</t>
  </si>
  <si>
    <t>Humidificador</t>
  </si>
  <si>
    <t>Horno Electronico</t>
  </si>
  <si>
    <t>Licuadora</t>
  </si>
  <si>
    <t>Modular</t>
  </si>
  <si>
    <t>Placard</t>
  </si>
  <si>
    <t>Cortinas</t>
  </si>
  <si>
    <t>Alfombra</t>
  </si>
  <si>
    <t>Platos</t>
  </si>
  <si>
    <t>Cubiertos</t>
  </si>
  <si>
    <t>Decoracion</t>
  </si>
  <si>
    <t>Mesa</t>
  </si>
  <si>
    <t>Liliana</t>
  </si>
  <si>
    <t>Tophouse</t>
  </si>
  <si>
    <t>Easy</t>
  </si>
  <si>
    <t>Motor</t>
  </si>
  <si>
    <t>Zapatos</t>
  </si>
  <si>
    <t>Tarjeta Grafica</t>
  </si>
  <si>
    <t>Guantes</t>
  </si>
  <si>
    <t>Sombrero</t>
  </si>
  <si>
    <t>Espejo</t>
  </si>
  <si>
    <t>Anteojos</t>
  </si>
  <si>
    <t>Lentes</t>
  </si>
  <si>
    <t>Bufanda</t>
  </si>
  <si>
    <t>iPhone 20g</t>
  </si>
  <si>
    <t>Bridgestone</t>
  </si>
  <si>
    <t>LV</t>
  </si>
  <si>
    <t>Nvidia</t>
  </si>
  <si>
    <t>Prada</t>
  </si>
  <si>
    <t>Raven</t>
  </si>
  <si>
    <t>Pucci</t>
  </si>
  <si>
    <t>Apple</t>
  </si>
  <si>
    <t>P</t>
  </si>
  <si>
    <t>A</t>
  </si>
  <si>
    <t>Cod</t>
  </si>
  <si>
    <t>Recaudado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</si>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</sst>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d/m/yy;@"/>
    <numFmt numFmtId="165" formatCode="[$-F400]h:mm:ss\ AM/PM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textRotation="90"/>
    </xf>
    <xf numFmtId="0" fontId="0" fillId="0" borderId="0" xfId="0" applyNumberFormat="1"/>
    <xf numFmtId="2" fontId="0" fillId="0" borderId="0" xfId="0" applyNumberFormat="1"/>
    <xf numFmtId="44" fontId="0" fillId="0" borderId="0" xfId="1" applyFont="1"/>
    <xf numFmtId="0" fontId="0" fillId="0" borderId="0" xfId="0" applyFont="1" applyFill="1" applyBorder="1"/>
    <xf numFmtId="44" fontId="0" fillId="0" borderId="0" xfId="1" applyNumberFormat="1" applyFont="1" applyFill="1" applyBorder="1"/>
    <xf numFmtId="4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/>
    <xf numFmtId="44" fontId="0" fillId="0" borderId="0" xfId="1" applyNumberFormat="1" applyFont="1" applyFill="1"/>
    <xf numFmtId="44" fontId="0" fillId="0" borderId="0" xfId="0" applyNumberFormat="1" applyFont="1" applyFill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3" xfId="0" applyFont="1" applyFill="1" applyBorder="1"/>
    <xf numFmtId="0" fontId="0" fillId="0" borderId="0" xfId="0" applyFill="1"/>
    <xf numFmtId="0" fontId="0" fillId="0" borderId="0" xfId="0" applyFill="1" applyAlignment="1"/>
    <xf numFmtId="44" fontId="0" fillId="0" borderId="2" xfId="1" applyFont="1" applyBorder="1"/>
    <xf numFmtId="0" fontId="0" fillId="0" borderId="0" xfId="0" applyFill="1" applyBorder="1"/>
    <xf numFmtId="44" fontId="0" fillId="0" borderId="2" xfId="1" applyFont="1" applyFill="1" applyBorder="1"/>
    <xf numFmtId="44" fontId="0" fillId="0" borderId="0" xfId="1" applyFont="1" applyFill="1" applyBorder="1"/>
    <xf numFmtId="44" fontId="0" fillId="0" borderId="4" xfId="1" applyFont="1" applyBorder="1"/>
    <xf numFmtId="0" fontId="5" fillId="0" borderId="0" xfId="2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5" xfId="0" applyFont="1" applyFill="1" applyBorder="1"/>
    <xf numFmtId="9" fontId="0" fillId="2" borderId="6" xfId="0" applyNumberFormat="1" applyFont="1" applyFill="1" applyBorder="1"/>
    <xf numFmtId="0" fontId="0" fillId="0" borderId="5" xfId="0" applyFont="1" applyBorder="1"/>
    <xf numFmtId="44" fontId="0" fillId="0" borderId="6" xfId="0" applyNumberFormat="1" applyFont="1" applyBorder="1"/>
    <xf numFmtId="0" fontId="0" fillId="2" borderId="6" xfId="0" applyFont="1" applyFill="1" applyBorder="1"/>
    <xf numFmtId="0" fontId="0" fillId="0" borderId="6" xfId="0" applyFont="1" applyBorder="1"/>
    <xf numFmtId="44" fontId="0" fillId="0" borderId="6" xfId="1" applyNumberFormat="1" applyFont="1" applyBorder="1"/>
    <xf numFmtId="44" fontId="0" fillId="2" borderId="6" xfId="1" applyNumberFormat="1" applyFont="1" applyFill="1" applyBorder="1"/>
    <xf numFmtId="44" fontId="0" fillId="2" borderId="3" xfId="1" applyNumberFormat="1" applyFont="1" applyFill="1" applyBorder="1"/>
    <xf numFmtId="14" fontId="0" fillId="0" borderId="6" xfId="0" applyNumberFormat="1" applyFont="1" applyBorder="1"/>
    <xf numFmtId="165" fontId="0" fillId="0" borderId="6" xfId="0" applyNumberFormat="1" applyFont="1" applyBorder="1"/>
    <xf numFmtId="0" fontId="0" fillId="0" borderId="6" xfId="0" applyNumberFormat="1" applyFont="1" applyBorder="1"/>
    <xf numFmtId="0" fontId="0" fillId="0" borderId="0" xfId="0" applyAlignment="1">
      <alignment horizontal="center" textRotation="90"/>
    </xf>
    <xf numFmtId="0" fontId="5" fillId="0" borderId="0" xfId="2" applyFont="1" applyAlignment="1">
      <alignment horizontal="left" vertical="center" indent="4"/>
    </xf>
    <xf numFmtId="0" fontId="0" fillId="0" borderId="0" xfId="0" applyFill="1" applyAlignment="1">
      <alignment horizontal="center" vertical="center"/>
    </xf>
    <xf numFmtId="0" fontId="5" fillId="0" borderId="0" xfId="2" applyFont="1" applyFill="1" applyAlignment="1">
      <alignment horizontal="left" vertical="center" indent="4"/>
    </xf>
    <xf numFmtId="0" fontId="0" fillId="2" borderId="0" xfId="0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55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8B3535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6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</dxf>
    <dxf>
      <numFmt numFmtId="164" formatCode="d/m/yy;@"/>
      <alignment horizontal="center" vertical="center" textRotation="90" wrapText="0" indent="0" justifyLastLine="0" shrinkToFit="0" readingOrder="0"/>
    </dxf>
  </dxfs>
  <tableStyles count="0" defaultTableStyle="TableStyleMedium2" defaultPivotStyle="PivotStyleLight16"/>
  <colors>
    <mruColors>
      <color rgb="FF8B3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2521637585001445E-2"/>
          <c:y val="9.7132012191343473E-2"/>
          <c:w val="0.88227351409400001"/>
          <c:h val="0.68120924256590287"/>
        </c:manualLayout>
      </c:layout>
      <c:barChart>
        <c:barDir val="col"/>
        <c:grouping val="clustered"/>
        <c:varyColors val="0"/>
        <c:ser>
          <c:idx val="0"/>
          <c:order val="0"/>
          <c:tx>
            <c:v>Stock de Productos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Productos!$E$2:$E$41</c:f>
              <c:strCache>
                <c:ptCount val="40"/>
                <c:pt idx="0">
                  <c:v>Jean Levis</c:v>
                </c:pt>
                <c:pt idx="1">
                  <c:v>Mesa</c:v>
                </c:pt>
                <c:pt idx="2">
                  <c:v>Decoracion</c:v>
                </c:pt>
                <c:pt idx="3">
                  <c:v>iPhone 20g</c:v>
                </c:pt>
                <c:pt idx="4">
                  <c:v>Licuadora</c:v>
                </c:pt>
                <c:pt idx="5">
                  <c:v>Horno Electronico</c:v>
                </c:pt>
                <c:pt idx="6">
                  <c:v>Bufanda</c:v>
                </c:pt>
                <c:pt idx="7">
                  <c:v>ebook</c:v>
                </c:pt>
                <c:pt idx="8">
                  <c:v>Lentes</c:v>
                </c:pt>
                <c:pt idx="9">
                  <c:v>Sillon</c:v>
                </c:pt>
                <c:pt idx="10">
                  <c:v>Anteojos</c:v>
                </c:pt>
                <c:pt idx="11">
                  <c:v>Espejo</c:v>
                </c:pt>
                <c:pt idx="12">
                  <c:v>Cubiertos</c:v>
                </c:pt>
                <c:pt idx="13">
                  <c:v>Remera</c:v>
                </c:pt>
                <c:pt idx="14">
                  <c:v>Batidora</c:v>
                </c:pt>
                <c:pt idx="15">
                  <c:v>Platos</c:v>
                </c:pt>
                <c:pt idx="16">
                  <c:v>Alfombra</c:v>
                </c:pt>
                <c:pt idx="17">
                  <c:v>Cortinas</c:v>
                </c:pt>
                <c:pt idx="18">
                  <c:v>Placard</c:v>
                </c:pt>
                <c:pt idx="19">
                  <c:v>Heladera</c:v>
                </c:pt>
                <c:pt idx="20">
                  <c:v>Modular</c:v>
                </c:pt>
                <c:pt idx="21">
                  <c:v>Sombrero</c:v>
                </c:pt>
                <c:pt idx="22">
                  <c:v>Guantes</c:v>
                </c:pt>
                <c:pt idx="23">
                  <c:v>Tarjeta Grafica</c:v>
                </c:pt>
                <c:pt idx="24">
                  <c:v>Teclado Mecanico</c:v>
                </c:pt>
                <c:pt idx="25">
                  <c:v>Humidificador</c:v>
                </c:pt>
                <c:pt idx="26">
                  <c:v>Zapatos</c:v>
                </c:pt>
                <c:pt idx="27">
                  <c:v>Motor</c:v>
                </c:pt>
                <c:pt idx="28">
                  <c:v>Automovil</c:v>
                </c:pt>
                <c:pt idx="29">
                  <c:v>Monitor</c:v>
                </c:pt>
                <c:pt idx="30">
                  <c:v>Tostadora</c:v>
                </c:pt>
                <c:pt idx="31">
                  <c:v>Mouse Inalambrico</c:v>
                </c:pt>
                <c:pt idx="32">
                  <c:v>Tablet 10"</c:v>
                </c:pt>
                <c:pt idx="33">
                  <c:v>Neumaticos</c:v>
                </c:pt>
                <c:pt idx="34">
                  <c:v>Parabrisas</c:v>
                </c:pt>
                <c:pt idx="35">
                  <c:v>Cubiertas</c:v>
                </c:pt>
                <c:pt idx="36">
                  <c:v>Capera de Cuero</c:v>
                </c:pt>
                <c:pt idx="37">
                  <c:v>Campera de Jean</c:v>
                </c:pt>
                <c:pt idx="38">
                  <c:v>Secarropas</c:v>
                </c:pt>
                <c:pt idx="39">
                  <c:v>Lavarropas</c:v>
                </c:pt>
              </c:strCache>
            </c:strRef>
          </c:cat>
          <c:val>
            <c:numRef>
              <c:f>Productos!$I$2:$I$15</c:f>
              <c:numCache>
                <c:formatCode>General</c:formatCode>
                <c:ptCount val="14"/>
                <c:pt idx="0">
                  <c:v>8500</c:v>
                </c:pt>
                <c:pt idx="1">
                  <c:v>7594</c:v>
                </c:pt>
                <c:pt idx="2">
                  <c:v>9584</c:v>
                </c:pt>
                <c:pt idx="3">
                  <c:v>7690</c:v>
                </c:pt>
                <c:pt idx="4">
                  <c:v>300</c:v>
                </c:pt>
                <c:pt idx="5">
                  <c:v>4000</c:v>
                </c:pt>
                <c:pt idx="6">
                  <c:v>2349</c:v>
                </c:pt>
                <c:pt idx="7">
                  <c:v>2500</c:v>
                </c:pt>
                <c:pt idx="8">
                  <c:v>2934</c:v>
                </c:pt>
                <c:pt idx="9">
                  <c:v>500</c:v>
                </c:pt>
                <c:pt idx="10">
                  <c:v>500</c:v>
                </c:pt>
                <c:pt idx="11">
                  <c:v>349</c:v>
                </c:pt>
                <c:pt idx="12">
                  <c:v>2348</c:v>
                </c:pt>
                <c:pt idx="1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4-4CC2-88CA-87D2C13C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127312"/>
        <c:axId val="1564146448"/>
      </c:barChart>
      <c:catAx>
        <c:axId val="1564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4146448"/>
        <c:crosses val="autoZero"/>
        <c:auto val="1"/>
        <c:lblAlgn val="ctr"/>
        <c:lblOffset val="100"/>
        <c:noMultiLvlLbl val="0"/>
      </c:catAx>
      <c:valAx>
        <c:axId val="15641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41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85714285714279E-2"/>
          <c:y val="3.6459675972237385E-2"/>
          <c:w val="0.92351590412431916"/>
          <c:h val="0.81434895328531109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2-4E39-838A-C041714355DE}"/>
              </c:ext>
            </c:extLst>
          </c:dPt>
          <c:dPt>
            <c:idx val="1"/>
            <c:bubble3D val="0"/>
            <c:explosion val="3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B2-4E39-838A-C041714355DE}"/>
              </c:ext>
            </c:extLst>
          </c:dPt>
          <c:dPt>
            <c:idx val="2"/>
            <c:bubble3D val="0"/>
            <c:explosion val="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4B2-4E39-838A-C041714355DE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B2-4E39-838A-C041714355DE}"/>
              </c:ext>
            </c:extLst>
          </c:dPt>
          <c:dPt>
            <c:idx val="4"/>
            <c:bubble3D val="0"/>
            <c:explosion val="7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B2-4E39-838A-C041714355DE}"/>
              </c:ext>
            </c:extLst>
          </c:dPt>
          <c:dPt>
            <c:idx val="5"/>
            <c:bubble3D val="0"/>
            <c:explosion val="6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B2-4E39-838A-C041714355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4B2-4E39-838A-C041714355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B2-4E39-838A-C041714355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4B2-4E39-838A-C041714355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B2-4E39-838A-C041714355DE}"/>
              </c:ext>
            </c:extLst>
          </c:dPt>
          <c:dLbls>
            <c:dLbl>
              <c:idx val="0"/>
              <c:layout>
                <c:manualLayout>
                  <c:x val="-5.7680844287769567E-2"/>
                  <c:y val="0.33287603802338961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6812"/>
                        <a:gd name="adj2" fmla="val -38908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4B2-4E39-838A-C041714355DE}"/>
                </c:ext>
              </c:extLst>
            </c:dLbl>
            <c:dLbl>
              <c:idx val="1"/>
              <c:layout>
                <c:manualLayout>
                  <c:x val="-0.10952380952380955"/>
                  <c:y val="4.023776283799203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6053"/>
                        <a:gd name="adj2" fmla="val -33229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04B2-4E39-838A-C041714355DE}"/>
                </c:ext>
              </c:extLst>
            </c:dLbl>
            <c:dLbl>
              <c:idx val="2"/>
              <c:layout>
                <c:manualLayout>
                  <c:x val="-4.2857142857142858E-2"/>
                  <c:y val="1.46319137592698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65372"/>
                        <a:gd name="adj2" fmla="val 17251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04B2-4E39-838A-C041714355DE}"/>
                </c:ext>
              </c:extLst>
            </c:dLbl>
            <c:dLbl>
              <c:idx val="3"/>
              <c:layout>
                <c:manualLayout>
                  <c:x val="0.11666666666666667"/>
                  <c:y val="1.828989219908734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97060"/>
                        <a:gd name="adj2" fmla="val 1224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4B2-4E39-838A-C041714355DE}"/>
                </c:ext>
              </c:extLst>
            </c:dLbl>
            <c:dLbl>
              <c:idx val="4"/>
              <c:layout>
                <c:manualLayout>
                  <c:x val="0.10476190476190468"/>
                  <c:y val="-4.75537197176271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B2-4E39-838A-C041714355DE}"/>
                </c:ext>
              </c:extLst>
            </c:dLbl>
            <c:dLbl>
              <c:idx val="5"/>
              <c:layout>
                <c:manualLayout>
                  <c:x val="0.17142857142857143"/>
                  <c:y val="-9.8765417875071718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49435"/>
                        <a:gd name="adj2" fmla="val 11148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4B2-4E39-838A-C041714355DE}"/>
                </c:ext>
              </c:extLst>
            </c:dLbl>
            <c:dLbl>
              <c:idx val="6"/>
              <c:layout>
                <c:manualLayout>
                  <c:x val="-0.15000000000000008"/>
                  <c:y val="0.51211698157444574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369"/>
                        <a:gd name="adj2" fmla="val -2379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04B2-4E39-838A-C041714355DE}"/>
                </c:ext>
              </c:extLst>
            </c:dLbl>
            <c:dLbl>
              <c:idx val="7"/>
              <c:layout>
                <c:manualLayout>
                  <c:x val="-0.14404761904761906"/>
                  <c:y val="0.26703242610667527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0579"/>
                        <a:gd name="adj2" fmla="val -1189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1846081739782537E-2"/>
                      <c:h val="9.22317499279205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04B2-4E39-838A-C041714355DE}"/>
                </c:ext>
              </c:extLst>
            </c:dLbl>
            <c:dLbl>
              <c:idx val="8"/>
              <c:layout>
                <c:manualLayout>
                  <c:x val="-0.15238095238095239"/>
                  <c:y val="0.384087736180834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2523"/>
                        <a:gd name="adj2" fmla="val -198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562617172853398E-2"/>
                      <c:h val="9.22317499279205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04B2-4E39-838A-C041714355D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B2-4E39-838A-C041714355D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datos!$F$2:$G$10</c15:sqref>
                  </c15:fullRef>
                  <c15:levelRef>
                    <c15:sqref>datos!$F$2:$F$10</c15:sqref>
                  </c15:levelRef>
                </c:ext>
              </c:extLst>
              <c:f>datos!$F$2:$F$10</c:f>
              <c:strCache>
                <c:ptCount val="9"/>
                <c:pt idx="0">
                  <c:v>Racedo</c:v>
                </c:pt>
                <c:pt idx="1">
                  <c:v>Mariano</c:v>
                </c:pt>
                <c:pt idx="2">
                  <c:v>Tambella</c:v>
                </c:pt>
                <c:pt idx="3">
                  <c:v>Casas</c:v>
                </c:pt>
                <c:pt idx="4">
                  <c:v>Gurruchaga</c:v>
                </c:pt>
                <c:pt idx="5">
                  <c:v>Perez</c:v>
                </c:pt>
                <c:pt idx="6">
                  <c:v>Gonzalo</c:v>
                </c:pt>
                <c:pt idx="7">
                  <c:v>Miguel</c:v>
                </c:pt>
                <c:pt idx="8">
                  <c:v>Joan</c:v>
                </c:pt>
              </c:strCache>
            </c:strRef>
          </c:cat>
          <c:val>
            <c:numRef>
              <c:f>datos!$R$2:$R$10</c:f>
              <c:numCache>
                <c:formatCode>_("$"* #,##0.00_);_("$"* \(#,##0.00\);_("$"* "-"??_);_(@_)</c:formatCode>
                <c:ptCount val="9"/>
                <c:pt idx="0">
                  <c:v>273344</c:v>
                </c:pt>
                <c:pt idx="1">
                  <c:v>2193831.9700000002</c:v>
                </c:pt>
                <c:pt idx="2">
                  <c:v>1431168</c:v>
                </c:pt>
                <c:pt idx="3">
                  <c:v>278304</c:v>
                </c:pt>
                <c:pt idx="4">
                  <c:v>525992</c:v>
                </c:pt>
                <c:pt idx="5">
                  <c:v>76199.97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2-4E39-838A-C0417143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Recaudaciones</a:t>
            </a:r>
            <a:r>
              <a:rPr lang="en-US" baseline="0"/>
              <a:t> Mensuales</a:t>
            </a:r>
          </a:p>
        </c:rich>
      </c:tx>
      <c:layout>
        <c:manualLayout>
          <c:xMode val="edge"/>
          <c:yMode val="edge"/>
          <c:x val="0.46037959667852912"/>
          <c:y val="1.709401709401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8006949309272283"/>
          <c:y val="0.15850427350427351"/>
          <c:w val="0.78908827677679083"/>
          <c:h val="0.6278460865468739"/>
        </c:manualLayout>
      </c:layout>
      <c:lineChart>
        <c:grouping val="standard"/>
        <c:varyColors val="0"/>
        <c:ser>
          <c:idx val="0"/>
          <c:order val="0"/>
          <c:tx>
            <c:strRef>
              <c:f>ventas!$B$12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ventas!$A$13:$A$22</c:f>
              <c:strCache>
                <c:ptCount val="10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</c:strCache>
            </c:strRef>
          </c:cat>
          <c:val>
            <c:numRef>
              <c:f>ventas!$B$13:$B$22</c:f>
              <c:numCache>
                <c:formatCode>_("$"* #,##0.00_);_("$"* \(#,##0.00\);_("$"* "-"??_);_(@_)</c:formatCode>
                <c:ptCount val="10"/>
                <c:pt idx="0">
                  <c:v>2786499</c:v>
                </c:pt>
                <c:pt idx="1">
                  <c:v>5923800</c:v>
                </c:pt>
                <c:pt idx="2">
                  <c:v>3486000</c:v>
                </c:pt>
                <c:pt idx="3">
                  <c:v>567299</c:v>
                </c:pt>
                <c:pt idx="4">
                  <c:v>1200576</c:v>
                </c:pt>
                <c:pt idx="5">
                  <c:v>2868600</c:v>
                </c:pt>
                <c:pt idx="6">
                  <c:v>8725320</c:v>
                </c:pt>
                <c:pt idx="7">
                  <c:v>548100</c:v>
                </c:pt>
                <c:pt idx="8">
                  <c:v>3756980</c:v>
                </c:pt>
                <c:pt idx="9">
                  <c:v>4778839.9399999995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5-4929-ADC0-AEE30CC2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05200"/>
        <c:axId val="1681197296"/>
      </c:lineChart>
      <c:catAx>
        <c:axId val="16812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1197296"/>
        <c:crosses val="autoZero"/>
        <c:auto val="1"/>
        <c:lblAlgn val="ctr"/>
        <c:lblOffset val="100"/>
        <c:noMultiLvlLbl val="0"/>
      </c:catAx>
      <c:valAx>
        <c:axId val="16811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12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Estadisticas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datos!$F$2:$F$10</c:f>
              <c:strCache>
                <c:ptCount val="9"/>
                <c:pt idx="0">
                  <c:v>Racedo</c:v>
                </c:pt>
                <c:pt idx="1">
                  <c:v>Mariano</c:v>
                </c:pt>
                <c:pt idx="2">
                  <c:v>Tambella</c:v>
                </c:pt>
                <c:pt idx="3">
                  <c:v>Casas</c:v>
                </c:pt>
                <c:pt idx="4">
                  <c:v>Gurruchaga</c:v>
                </c:pt>
                <c:pt idx="5">
                  <c:v>Perez</c:v>
                </c:pt>
                <c:pt idx="6">
                  <c:v>Gonzalo</c:v>
                </c:pt>
                <c:pt idx="7">
                  <c:v>Miguel</c:v>
                </c:pt>
                <c:pt idx="8">
                  <c:v>Joan</c:v>
                </c:pt>
              </c:strCache>
            </c:strRef>
          </c:cat>
          <c:val>
            <c:numRef>
              <c:f>datos!$Q$2:$Q$10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1-4871-AF8C-F770E32F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074576"/>
        <c:axId val="15760737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datos!$F$2:$F$10</c:f>
              <c:strCache>
                <c:ptCount val="9"/>
                <c:pt idx="0">
                  <c:v>Racedo</c:v>
                </c:pt>
                <c:pt idx="1">
                  <c:v>Mariano</c:v>
                </c:pt>
                <c:pt idx="2">
                  <c:v>Tambella</c:v>
                </c:pt>
                <c:pt idx="3">
                  <c:v>Casas</c:v>
                </c:pt>
                <c:pt idx="4">
                  <c:v>Gurruchaga</c:v>
                </c:pt>
                <c:pt idx="5">
                  <c:v>Perez</c:v>
                </c:pt>
                <c:pt idx="6">
                  <c:v>Gonzalo</c:v>
                </c:pt>
                <c:pt idx="7">
                  <c:v>Miguel</c:v>
                </c:pt>
                <c:pt idx="8">
                  <c:v>Joan</c:v>
                </c:pt>
              </c:strCache>
            </c:strRef>
          </c:cat>
          <c:val>
            <c:numRef>
              <c:f>datos!$R$2:$R$10</c:f>
              <c:numCache>
                <c:formatCode>_("$"* #,##0.00_);_("$"* \(#,##0.00\);_("$"* "-"??_);_(@_)</c:formatCode>
                <c:ptCount val="9"/>
                <c:pt idx="0">
                  <c:v>273344</c:v>
                </c:pt>
                <c:pt idx="1">
                  <c:v>2193831.9700000002</c:v>
                </c:pt>
                <c:pt idx="2">
                  <c:v>1431168</c:v>
                </c:pt>
                <c:pt idx="3">
                  <c:v>278304</c:v>
                </c:pt>
                <c:pt idx="4">
                  <c:v>525992</c:v>
                </c:pt>
                <c:pt idx="5">
                  <c:v>76199.97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1-4871-AF8C-F770E32F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611088"/>
        <c:axId val="1697621904"/>
      </c:lineChart>
      <c:catAx>
        <c:axId val="15760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6073744"/>
        <c:crosses val="autoZero"/>
        <c:auto val="1"/>
        <c:lblAlgn val="ctr"/>
        <c:lblOffset val="100"/>
        <c:noMultiLvlLbl val="0"/>
      </c:catAx>
      <c:valAx>
        <c:axId val="15760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6074576"/>
        <c:crosses val="autoZero"/>
        <c:crossBetween val="between"/>
      </c:valAx>
      <c:valAx>
        <c:axId val="1697621904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7611088"/>
        <c:crosses val="max"/>
        <c:crossBetween val="between"/>
      </c:valAx>
      <c:catAx>
        <c:axId val="169761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621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datos!A1"/><Relationship Id="rId18" Type="http://schemas.openxmlformats.org/officeDocument/2006/relationships/image" Target="../media/image12.svg"/><Relationship Id="rId26" Type="http://schemas.openxmlformats.org/officeDocument/2006/relationships/image" Target="../media/image17.pn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file:///C:\Users\EducacionIT\Documents\office\Excel\excel-x15\contabilidad.xlsx" TargetMode="External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5" Type="http://schemas.openxmlformats.org/officeDocument/2006/relationships/hyperlink" Target="https://github.com/c215714n/EducacionIT/tree/excel-x15" TargetMode="External"/><Relationship Id="rId2" Type="http://schemas.openxmlformats.org/officeDocument/2006/relationships/image" Target="../media/image1.png"/><Relationship Id="rId16" Type="http://schemas.openxmlformats.org/officeDocument/2006/relationships/hyperlink" Target="#menu!A1"/><Relationship Id="rId20" Type="http://schemas.openxmlformats.org/officeDocument/2006/relationships/image" Target="../media/image13.png"/><Relationship Id="rId29" Type="http://schemas.openxmlformats.org/officeDocument/2006/relationships/hyperlink" Target="https://alumni.education" TargetMode="External"/><Relationship Id="rId1" Type="http://schemas.openxmlformats.org/officeDocument/2006/relationships/hyperlink" Target="#presentismo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image" Target="../media/image16.sv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5.png"/><Relationship Id="rId28" Type="http://schemas.openxmlformats.org/officeDocument/2006/relationships/hyperlink" Target="https://creativecommons.org/licenses/by-sa/3.0/" TargetMode="External"/><Relationship Id="rId10" Type="http://schemas.openxmlformats.org/officeDocument/2006/relationships/hyperlink" Target="mailto:cristiandracedo@hotmail.com?subject=Consulta%20EXCEL" TargetMode="External"/><Relationship Id="rId19" Type="http://schemas.openxmlformats.org/officeDocument/2006/relationships/hyperlink" Target="#ventas!A1"/><Relationship Id="rId4" Type="http://schemas.openxmlformats.org/officeDocument/2006/relationships/hyperlink" Target="docs/atajos-teclado.doc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hyperlink" Target="#estadisticas!A1"/><Relationship Id="rId27" Type="http://schemas.openxmlformats.org/officeDocument/2006/relationships/hyperlink" Target="http://major.io/2014/08/08/use-gist-gem-github-enterprise-github-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2" Type="http://schemas.openxmlformats.org/officeDocument/2006/relationships/image" Target="../media/image11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svg"/><Relationship Id="rId7" Type="http://schemas.openxmlformats.org/officeDocument/2006/relationships/chart" Target="../charts/chart4.xml"/><Relationship Id="rId2" Type="http://schemas.openxmlformats.org/officeDocument/2006/relationships/image" Target="../media/image11.png"/><Relationship Id="rId1" Type="http://schemas.openxmlformats.org/officeDocument/2006/relationships/hyperlink" Target="#menu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130969</xdr:colOff>
      <xdr:row>0</xdr:row>
      <xdr:rowOff>29765</xdr:rowOff>
    </xdr:from>
    <xdr:to>
      <xdr:col>1</xdr:col>
      <xdr:colOff>670969</xdr:colOff>
      <xdr:row>0</xdr:row>
      <xdr:rowOff>569765</xdr:rowOff>
    </xdr:to>
    <xdr:pic>
      <xdr:nvPicPr>
        <xdr:cNvPr id="3" name="Gráfico 2" descr="Lista de comprobación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F4367-E666-4D03-9DEB-2418E98C6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0969" y="2976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114282</xdr:colOff>
      <xdr:row>2</xdr:row>
      <xdr:rowOff>30938</xdr:rowOff>
    </xdr:from>
    <xdr:to>
      <xdr:col>2</xdr:col>
      <xdr:colOff>654282</xdr:colOff>
      <xdr:row>2</xdr:row>
      <xdr:rowOff>570938</xdr:rowOff>
    </xdr:to>
    <xdr:pic>
      <xdr:nvPicPr>
        <xdr:cNvPr id="5" name="Gráfico 4" descr="Aula de clases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6720D7-8363-4498-BA44-CE6FD87C8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6282" y="80484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139266</xdr:colOff>
      <xdr:row>2</xdr:row>
      <xdr:rowOff>26156</xdr:rowOff>
    </xdr:from>
    <xdr:to>
      <xdr:col>1</xdr:col>
      <xdr:colOff>679266</xdr:colOff>
      <xdr:row>2</xdr:row>
      <xdr:rowOff>566156</xdr:rowOff>
    </xdr:to>
    <xdr:pic>
      <xdr:nvPicPr>
        <xdr:cNvPr id="7" name="Gráfico 6" descr="Documento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5CA8BF-0A97-4369-86E1-AD7D77937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9266" y="800062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122578</xdr:colOff>
      <xdr:row>2</xdr:row>
      <xdr:rowOff>15422</xdr:rowOff>
    </xdr:from>
    <xdr:to>
      <xdr:col>3</xdr:col>
      <xdr:colOff>662578</xdr:colOff>
      <xdr:row>2</xdr:row>
      <xdr:rowOff>555422</xdr:rowOff>
    </xdr:to>
    <xdr:pic>
      <xdr:nvPicPr>
        <xdr:cNvPr id="9" name="Gráfico 8" descr="Correo electrónico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33437E7-8BEF-4CDB-96B6-19693BA35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646578" y="789328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129704</xdr:colOff>
      <xdr:row>0</xdr:row>
      <xdr:rowOff>47625</xdr:rowOff>
    </xdr:from>
    <xdr:to>
      <xdr:col>3</xdr:col>
      <xdr:colOff>669704</xdr:colOff>
      <xdr:row>1</xdr:row>
      <xdr:rowOff>4219</xdr:rowOff>
    </xdr:to>
    <xdr:pic>
      <xdr:nvPicPr>
        <xdr:cNvPr id="11" name="Gráfico 10" descr="Identificación de empleado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935485-1094-4809-874F-DD9D952EC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653704" y="47625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5</xdr:col>
      <xdr:colOff>87628</xdr:colOff>
      <xdr:row>0</xdr:row>
      <xdr:rowOff>42750</xdr:rowOff>
    </xdr:from>
    <xdr:to>
      <xdr:col>5</xdr:col>
      <xdr:colOff>627628</xdr:colOff>
      <xdr:row>1</xdr:row>
      <xdr:rowOff>3923</xdr:rowOff>
    </xdr:to>
    <xdr:pic>
      <xdr:nvPicPr>
        <xdr:cNvPr id="15" name="Gráfico 14" descr="Casa con relleno sólid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79CB430-AB01-4349-8EDE-4448066E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384743" y="4275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109406</xdr:colOff>
      <xdr:row>0</xdr:row>
      <xdr:rowOff>49876</xdr:rowOff>
    </xdr:from>
    <xdr:to>
      <xdr:col>2</xdr:col>
      <xdr:colOff>649406</xdr:colOff>
      <xdr:row>1</xdr:row>
      <xdr:rowOff>6470</xdr:rowOff>
    </xdr:to>
    <xdr:pic>
      <xdr:nvPicPr>
        <xdr:cNvPr id="17" name="Gráfico 16" descr="Dinero con relleno sólid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2400C25-9175-4506-8670-01CC929EE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71406" y="49876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110578</xdr:colOff>
      <xdr:row>0</xdr:row>
      <xdr:rowOff>41671</xdr:rowOff>
    </xdr:from>
    <xdr:to>
      <xdr:col>4</xdr:col>
      <xdr:colOff>650578</xdr:colOff>
      <xdr:row>1</xdr:row>
      <xdr:rowOff>2844</xdr:rowOff>
    </xdr:to>
    <xdr:pic>
      <xdr:nvPicPr>
        <xdr:cNvPr id="19" name="Gráfico 18" descr="Presentación con gráfico circular con relleno sólid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7074097-AEF2-46E5-9411-311A09D1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396578" y="41671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119063</xdr:colOff>
      <xdr:row>2</xdr:row>
      <xdr:rowOff>29766</xdr:rowOff>
    </xdr:from>
    <xdr:to>
      <xdr:col>4</xdr:col>
      <xdr:colOff>659063</xdr:colOff>
      <xdr:row>2</xdr:row>
      <xdr:rowOff>569766</xdr:rowOff>
    </xdr:to>
    <xdr:pic>
      <xdr:nvPicPr>
        <xdr:cNvPr id="23" name="Imagen 22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98C3B94-313B-447B-BEB6-7C8D4028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2405063" y="803672"/>
          <a:ext cx="540000" cy="540000"/>
        </a:xfrm>
        <a:prstGeom prst="rect">
          <a:avLst/>
        </a:prstGeom>
      </xdr:spPr>
    </xdr:pic>
    <xdr:clientData/>
  </xdr:twoCellAnchor>
  <xdr:oneCellAnchor>
    <xdr:from>
      <xdr:col>4</xdr:col>
      <xdr:colOff>89298</xdr:colOff>
      <xdr:row>28</xdr:row>
      <xdr:rowOff>17858</xdr:rowOff>
    </xdr:from>
    <xdr:ext cx="5334000" cy="54000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25C829E3-5663-448F-93F6-B5842E07720E}"/>
            </a:ext>
          </a:extLst>
        </xdr:cNvPr>
        <xdr:cNvSpPr txBox="1"/>
      </xdr:nvSpPr>
      <xdr:spPr>
        <a:xfrm>
          <a:off x="2375298" y="6137671"/>
          <a:ext cx="5334000" cy="54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27" tooltip="http://major.io/2014/08/08/use-gist-gem-github-enterprise-github-com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28" tooltip="https://creativecommons.org/licenses/by-sa/3.0/"/>
            </a:rPr>
            <a:t>CC BY-SA</a:t>
          </a:r>
          <a:endParaRPr lang="es-AR" sz="900"/>
        </a:p>
      </xdr:txBody>
    </xdr:sp>
    <xdr:clientData/>
  </xdr:oneCellAnchor>
  <xdr:twoCellAnchor>
    <xdr:from>
      <xdr:col>5</xdr:col>
      <xdr:colOff>125016</xdr:colOff>
      <xdr:row>2</xdr:row>
      <xdr:rowOff>87833</xdr:rowOff>
    </xdr:from>
    <xdr:to>
      <xdr:col>5</xdr:col>
      <xdr:colOff>587845</xdr:colOff>
      <xdr:row>2</xdr:row>
      <xdr:rowOff>578083</xdr:rowOff>
    </xdr:to>
    <xdr:grpSp>
      <xdr:nvGrpSpPr>
        <xdr:cNvPr id="2" name="Grupo 1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B95D7A7-6439-4F7A-BEAB-8B19B54DBD38}"/>
            </a:ext>
          </a:extLst>
        </xdr:cNvPr>
        <xdr:cNvGrpSpPr/>
      </xdr:nvGrpSpPr>
      <xdr:grpSpPr>
        <a:xfrm>
          <a:off x="3420261" y="857939"/>
          <a:ext cx="462829" cy="490250"/>
          <a:chOff x="3418661" y="859859"/>
          <a:chExt cx="462829" cy="490250"/>
        </a:xfrm>
      </xdr:grpSpPr>
      <xdr:sp macro="" textlink="">
        <xdr:nvSpPr>
          <xdr:cNvPr id="26" name="Paralelogramo 25">
            <a:extLst>
              <a:ext uri="{FF2B5EF4-FFF2-40B4-BE49-F238E27FC236}">
                <a16:creationId xmlns:a16="http://schemas.microsoft.com/office/drawing/2014/main" id="{5F38DBDA-102B-49DD-BF27-1D2B5D4EBD03}"/>
              </a:ext>
            </a:extLst>
          </xdr:cNvPr>
          <xdr:cNvSpPr/>
        </xdr:nvSpPr>
        <xdr:spPr>
          <a:xfrm>
            <a:off x="3418661" y="861324"/>
            <a:ext cx="285292" cy="404812"/>
          </a:xfrm>
          <a:prstGeom prst="parallelogram">
            <a:avLst>
              <a:gd name="adj" fmla="val 60578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13" name="Paralelogramo 12">
            <a:extLst>
              <a:ext uri="{FF2B5EF4-FFF2-40B4-BE49-F238E27FC236}">
                <a16:creationId xmlns:a16="http://schemas.microsoft.com/office/drawing/2014/main" id="{B6084DCA-D794-4CCF-AE54-931C3C7BCC10}"/>
              </a:ext>
            </a:extLst>
          </xdr:cNvPr>
          <xdr:cNvSpPr/>
        </xdr:nvSpPr>
        <xdr:spPr>
          <a:xfrm flipH="1">
            <a:off x="3596748" y="859859"/>
            <a:ext cx="284742" cy="404812"/>
          </a:xfrm>
          <a:prstGeom prst="parallelogram">
            <a:avLst>
              <a:gd name="adj" fmla="val 60578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14" name="Paralelogramo 13">
            <a:extLst>
              <a:ext uri="{FF2B5EF4-FFF2-40B4-BE49-F238E27FC236}">
                <a16:creationId xmlns:a16="http://schemas.microsoft.com/office/drawing/2014/main" id="{B1E1D76C-9616-4051-B1FC-1340F42BCAF7}"/>
              </a:ext>
            </a:extLst>
          </xdr:cNvPr>
          <xdr:cNvSpPr/>
        </xdr:nvSpPr>
        <xdr:spPr>
          <a:xfrm rot="3578586" flipH="1" flipV="1">
            <a:off x="3639364" y="1136427"/>
            <a:ext cx="224738" cy="202625"/>
          </a:xfrm>
          <a:prstGeom prst="parallelogram">
            <a:avLst>
              <a:gd name="adj" fmla="val 60578"/>
            </a:avLst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105104</xdr:rowOff>
    </xdr:from>
    <xdr:to>
      <xdr:col>0</xdr:col>
      <xdr:colOff>322553</xdr:colOff>
      <xdr:row>0</xdr:row>
      <xdr:rowOff>375104</xdr:rowOff>
    </xdr:to>
    <xdr:pic>
      <xdr:nvPicPr>
        <xdr:cNvPr id="2" name="Gráfico 1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745483-9B10-4548-B5EA-ECD2F93F2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105104"/>
          <a:ext cx="270000" cy="27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1</xdr:row>
      <xdr:rowOff>27842</xdr:rowOff>
    </xdr:from>
    <xdr:to>
      <xdr:col>2</xdr:col>
      <xdr:colOff>7327</xdr:colOff>
      <xdr:row>7</xdr:row>
      <xdr:rowOff>102577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C685A285-D465-4207-8A99-F4CBF764A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06265"/>
              <a:ext cx="1538654" cy="1217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</xdr:colOff>
      <xdr:row>7</xdr:row>
      <xdr:rowOff>157531</xdr:rowOff>
    </xdr:from>
    <xdr:to>
      <xdr:col>2</xdr:col>
      <xdr:colOff>7327</xdr:colOff>
      <xdr:row>14</xdr:row>
      <xdr:rowOff>124558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arca">
              <a:extLst>
                <a:ext uri="{FF2B5EF4-FFF2-40B4-BE49-F238E27FC236}">
                  <a16:creationId xmlns:a16="http://schemas.microsoft.com/office/drawing/2014/main" id="{E948BE95-2F1D-4FCA-B762-7FAEE37AE5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578954"/>
              <a:ext cx="1553308" cy="1300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65691</xdr:colOff>
      <xdr:row>0</xdr:row>
      <xdr:rowOff>0</xdr:rowOff>
    </xdr:from>
    <xdr:to>
      <xdr:col>0</xdr:col>
      <xdr:colOff>335691</xdr:colOff>
      <xdr:row>0</xdr:row>
      <xdr:rowOff>267372</xdr:rowOff>
    </xdr:to>
    <xdr:pic>
      <xdr:nvPicPr>
        <xdr:cNvPr id="5" name="Gráfico 4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E62D7-0143-409F-ADB3-EA0CD56E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691" y="0"/>
          <a:ext cx="270000" cy="267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36634</xdr:rowOff>
    </xdr:from>
    <xdr:to>
      <xdr:col>0</xdr:col>
      <xdr:colOff>322553</xdr:colOff>
      <xdr:row>0</xdr:row>
      <xdr:rowOff>306634</xdr:rowOff>
    </xdr:to>
    <xdr:pic>
      <xdr:nvPicPr>
        <xdr:cNvPr id="4" name="Gráfico 3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DBA40-C0D8-4F61-A1A5-6D5BA5705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36634"/>
          <a:ext cx="270000" cy="27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0</xdr:rowOff>
    </xdr:from>
    <xdr:to>
      <xdr:col>0</xdr:col>
      <xdr:colOff>322553</xdr:colOff>
      <xdr:row>1</xdr:row>
      <xdr:rowOff>672</xdr:rowOff>
    </xdr:to>
    <xdr:pic>
      <xdr:nvPicPr>
        <xdr:cNvPr id="3" name="Gráfico 2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789D4-4B76-40B6-8513-611835EF1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0"/>
          <a:ext cx="270000" cy="27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52553</xdr:colOff>
      <xdr:row>0</xdr:row>
      <xdr:rowOff>329</xdr:rowOff>
    </xdr:from>
    <xdr:to>
      <xdr:col>0</xdr:col>
      <xdr:colOff>322553</xdr:colOff>
      <xdr:row>0</xdr:row>
      <xdr:rowOff>269138</xdr:rowOff>
    </xdr:to>
    <xdr:pic>
      <xdr:nvPicPr>
        <xdr:cNvPr id="3" name="Gráfico 2" descr="Cas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A091F1-08C9-4028-9EC4-CC2B654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53" y="329"/>
          <a:ext cx="270000" cy="270000"/>
        </a:xfrm>
        <a:prstGeom prst="rect">
          <a:avLst/>
        </a:prstGeom>
      </xdr:spPr>
    </xdr:pic>
    <xdr:clientData/>
  </xdr:twoCellAnchor>
  <xdr:twoCellAnchor>
    <xdr:from>
      <xdr:col>0</xdr:col>
      <xdr:colOff>9526</xdr:colOff>
      <xdr:row>1</xdr:row>
      <xdr:rowOff>14286</xdr:rowOff>
    </xdr:from>
    <xdr:to>
      <xdr:col>7</xdr:col>
      <xdr:colOff>9526</xdr:colOff>
      <xdr:row>19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BE6A0B-18CF-4748-9101-7D2970E2E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</xdr:row>
      <xdr:rowOff>4762</xdr:rowOff>
    </xdr:from>
    <xdr:to>
      <xdr:col>12</xdr:col>
      <xdr:colOff>752475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174638-7C18-4ECE-AD7B-75939ED08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</xdr:row>
      <xdr:rowOff>57150</xdr:rowOff>
    </xdr:from>
    <xdr:to>
      <xdr:col>7</xdr:col>
      <xdr:colOff>19050</xdr:colOff>
      <xdr:row>34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6E9A18-1CD4-4812-9071-CD7484B33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</xdr:colOff>
      <xdr:row>19</xdr:row>
      <xdr:rowOff>66675</xdr:rowOff>
    </xdr:from>
    <xdr:to>
      <xdr:col>13</xdr:col>
      <xdr:colOff>9525</xdr:colOff>
      <xdr:row>35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085083C-D079-479B-B9F4-EB4B4597C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categoria" xr10:uid="{1F4662AE-5878-4E28-A069-6249EE1303A1}" sourceName="Categoria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marca" xr10:uid="{B33F85D2-9E7D-45D3-85A8-2B43EEE4AB66}" sourceName="Marca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66E9FA4D-D4EE-4227-900A-E05EF2115D4A}" cache="categoria" caption="Categoria" startItem="2" rowHeight="241300"/>
  <slicer name="Marca" xr10:uid="{8B807C09-7311-4953-B8B5-965803996B21}" cache="marca" caption="Marc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39B5D-32B5-4255-83E1-E29C47CE9F2B}" name="presentismo" displayName="presentismo" ref="E1:AK9" totalsRowCount="1" headerRowDxfId="54">
  <autoFilter ref="E1:AK8" xr:uid="{ABC39B5D-32B5-4255-83E1-E29C47CE9F2B}"/>
  <tableColumns count="33">
    <tableColumn id="1" xr3:uid="{63E8AE85-7078-42EA-8049-5AA43D1477D3}" name="Empleado" totalsRowFunction="custom">
      <totalsRowFormula>COUNTA(presentismo[Empleado])</totalsRowFormula>
    </tableColumn>
    <tableColumn id="2" xr3:uid="{009B11C5-9A79-4451-B4DF-A9A85993307E}" name="1/9/22" totalsRowFunction="custom">
      <totalsRowFormula>COUNTBLANK(presentismo[1/9/22])</totalsRowFormula>
    </tableColumn>
    <tableColumn id="3" xr3:uid="{13839942-7C3B-4C39-B28B-AC898EBACE02}" name="2/9/22" totalsRowFunction="custom">
      <totalsRowFormula>COUNTBLANK(presentismo[2/9/22])</totalsRowFormula>
    </tableColumn>
    <tableColumn id="4" xr3:uid="{9A72A611-7760-462B-A7C7-BD0D332F5CA9}" name="3/9/22" totalsRowFunction="custom" dataDxfId="53">
      <totalsRowFormula>COUNTBLANK(presentismo[3/9/22])</totalsRowFormula>
    </tableColumn>
    <tableColumn id="5" xr3:uid="{AC62A34A-0D01-470A-AB5F-268BDE4B1AD7}" name="4/9/22" totalsRowFunction="custom" dataDxfId="52">
      <totalsRowFormula>COUNTBLANK(presentismo[4/9/22])</totalsRowFormula>
    </tableColumn>
    <tableColumn id="6" xr3:uid="{39BC89E1-33D7-4B87-A051-3A42F7FD183C}" name="5/9/22" totalsRowFunction="custom" dataDxfId="51">
      <totalsRowFormula>COUNTBLANK(presentismo[5/9/22])</totalsRowFormula>
    </tableColumn>
    <tableColumn id="7" xr3:uid="{FD1A76DA-6C14-47F4-B7DE-192BC1144799}" name="6/9/22" totalsRowFunction="custom" dataDxfId="50">
      <totalsRowFormula>COUNTBLANK(presentismo[6/9/22])</totalsRowFormula>
    </tableColumn>
    <tableColumn id="8" xr3:uid="{72EE9BAD-45DB-49B3-BC94-2F2023604AC1}" name="7/9/22" totalsRowFunction="custom" dataDxfId="49">
      <totalsRowFormula>COUNTBLANK(presentismo[7/9/22])</totalsRowFormula>
    </tableColumn>
    <tableColumn id="9" xr3:uid="{AEB66E77-4AC8-4C77-84DC-301D9C357E10}" name="8/9/22" totalsRowFunction="custom" dataDxfId="48">
      <totalsRowFormula>COUNTBLANK(presentismo[8/9/22])</totalsRowFormula>
    </tableColumn>
    <tableColumn id="10" xr3:uid="{D7BBB940-F1FD-469E-99D4-E0E8F08DA48C}" name="9/9/22" totalsRowFunction="custom" dataDxfId="47">
      <totalsRowFormula>COUNTBLANK(presentismo[9/9/22])</totalsRowFormula>
    </tableColumn>
    <tableColumn id="11" xr3:uid="{E013540E-F42C-4310-9BD2-372E388003A4}" name="10/9/22" totalsRowFunction="custom">
      <totalsRowFormula>COUNTBLANK(presentismo[10/9/22])</totalsRowFormula>
    </tableColumn>
    <tableColumn id="12" xr3:uid="{FBCCE449-80B0-44D4-808E-708C7F3319C7}" name="11/9/22" totalsRowFunction="custom">
      <totalsRowFormula>COUNTBLANK(presentismo[11/9/22])</totalsRowFormula>
    </tableColumn>
    <tableColumn id="13" xr3:uid="{C9768850-87D3-41F3-A42C-9A2B7172C26B}" name="12/9/22" totalsRowFunction="custom">
      <totalsRowFormula>COUNTBLANK(presentismo[12/9/22])</totalsRowFormula>
    </tableColumn>
    <tableColumn id="14" xr3:uid="{4693F526-AC90-4841-84B4-892220E62612}" name="13/9/22" totalsRowFunction="custom">
      <totalsRowFormula>COUNTBLANK(presentismo[13/9/22])</totalsRowFormula>
    </tableColumn>
    <tableColumn id="15" xr3:uid="{3A6651B3-27FE-4C73-8D91-56C5E69806A8}" name="14/9/22" totalsRowFunction="custom">
      <totalsRowFormula>COUNTBLANK(presentismo[14/9/22])</totalsRowFormula>
    </tableColumn>
    <tableColumn id="16" xr3:uid="{36B417AE-F126-4023-BEBD-61D669212878}" name="15/9/22" totalsRowFunction="custom">
      <totalsRowFormula>COUNTBLANK(presentismo[15/9/22])</totalsRowFormula>
    </tableColumn>
    <tableColumn id="17" xr3:uid="{E12E6B64-259F-4DA7-B839-F31717D40A22}" name="16/9/22" totalsRowFunction="custom" dataDxfId="46">
      <totalsRowFormula>COUNTBLANK(presentismo[16/9/22])</totalsRowFormula>
    </tableColumn>
    <tableColumn id="18" xr3:uid="{58362C88-F69A-43C0-9D9A-684A8905968E}" name="17/9/22" totalsRowFunction="custom" dataDxfId="45">
      <totalsRowFormula>COUNTBLANK(presentismo[17/9/22])</totalsRowFormula>
    </tableColumn>
    <tableColumn id="19" xr3:uid="{C3058D62-1CAE-47E2-8346-A028F946A203}" name="18/9/22" totalsRowFunction="custom" dataDxfId="44">
      <totalsRowFormula>COUNTBLANK(presentismo[18/9/22])</totalsRowFormula>
    </tableColumn>
    <tableColumn id="20" xr3:uid="{A533AA87-A012-4B18-93F9-B7554A868A7C}" name="19/9/22" totalsRowFunction="custom" dataDxfId="43">
      <totalsRowFormula>COUNTBLANK(presentismo[19/9/22])</totalsRowFormula>
    </tableColumn>
    <tableColumn id="21" xr3:uid="{7D16EBB2-4A0A-40CE-B424-0DA3F09EB849}" name="20/9/22" totalsRowFunction="custom" dataDxfId="42">
      <totalsRowFormula>COUNTBLANK(presentismo[20/9/22])</totalsRowFormula>
    </tableColumn>
    <tableColumn id="22" xr3:uid="{27C05328-2466-48CF-AD99-1C66D6AF5B21}" name="21/9/22" totalsRowFunction="custom" dataDxfId="41">
      <totalsRowFormula>COUNTBLANK(presentismo[21/9/22])</totalsRowFormula>
    </tableColumn>
    <tableColumn id="23" xr3:uid="{7EA9120E-0252-4278-9845-2325FC6A55DB}" name="22/9/22" totalsRowFunction="custom" dataDxfId="40">
      <totalsRowFormula>COUNTBLANK(presentismo[22/9/22])</totalsRowFormula>
    </tableColumn>
    <tableColumn id="24" xr3:uid="{F327F5D0-2B53-4E47-9DB6-4B3AFEA7020F}" name="23/9/22" totalsRowFunction="custom" dataDxfId="39">
      <totalsRowFormula>COUNTBLANK(presentismo[23/9/22])</totalsRowFormula>
    </tableColumn>
    <tableColumn id="25" xr3:uid="{E2B3D0DD-E9FE-47CE-9300-9DEF701345F6}" name="24/9/22" totalsRowFunction="custom" dataDxfId="38">
      <totalsRowFormula>COUNTBLANK(presentismo[24/9/22])</totalsRowFormula>
    </tableColumn>
    <tableColumn id="26" xr3:uid="{624B1A60-489E-4F85-B8A7-06DD389AF174}" name="25/9/22" totalsRowFunction="custom" dataDxfId="37">
      <totalsRowFormula>COUNTBLANK(presentismo[25/9/22])</totalsRowFormula>
    </tableColumn>
    <tableColumn id="27" xr3:uid="{AA931E08-C2D5-4EEC-882D-D051DE15F54E}" name="26/9/22" totalsRowFunction="custom">
      <totalsRowFormula>COUNTBLANK(presentismo[26/9/22])</totalsRowFormula>
    </tableColumn>
    <tableColumn id="28" xr3:uid="{0D9EFFDD-E112-46EE-B66F-908C649CD88E}" name="27/9/22" totalsRowFunction="custom">
      <totalsRowFormula>COUNTBLANK(presentismo[27/9/22])</totalsRowFormula>
    </tableColumn>
    <tableColumn id="29" xr3:uid="{FF5A027C-A024-47CC-BB8B-E1DBA74F5B20}" name="28/9/22" totalsRowFunction="custom">
      <totalsRowFormula>COUNTBLANK(presentismo[28/9/22])</totalsRowFormula>
    </tableColumn>
    <tableColumn id="30" xr3:uid="{F7D35616-5B55-4F3F-AD21-24E9A1DA0890}" name="29/9/22" totalsRowFunction="custom">
      <totalsRowFormula>COUNTBLANK(presentismo[29/9/22])</totalsRowFormula>
    </tableColumn>
    <tableColumn id="31" xr3:uid="{480A7E2D-67A4-4E7B-B27F-A24C65D91962}" name="30/9/22" totalsRowFunction="custom">
      <totalsRowFormula>COUNTBLANK(presentismo[30/9/22])</totalsRowFormula>
    </tableColumn>
    <tableColumn id="32" xr3:uid="{133DF08D-95F8-4230-91B5-56B9A79C2352}" name="asist" totalsRowFunction="sum" dataDxfId="36">
      <calculatedColumnFormula>COUNTA(F2:AI2)</calculatedColumnFormula>
    </tableColumn>
    <tableColumn id="33" xr3:uid="{133D5CC8-5838-4915-83E6-667360020595}" name="aus" totalsRowFunction="sum" dataDxfId="35">
      <calculatedColumnFormula>COUNTBLANK(F2:AI2)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E4641-B35C-4CD9-92FE-750A373E4194}" name="estadisticas" displayName="estadisticas" ref="A2:C9" totalsRowShown="0" headerRowDxfId="34">
  <autoFilter ref="A2:C9" xr:uid="{AC0E4641-B35C-4CD9-92FE-750A373E4194}"/>
  <tableColumns count="3">
    <tableColumn id="1" xr3:uid="{CE7D112E-6D17-4595-9933-39DA72A6ADB2}" name="Stats"/>
    <tableColumn id="2" xr3:uid="{6325A483-F5AB-48C4-90E7-322EEB007858}" name="P"/>
    <tableColumn id="3" xr3:uid="{564785AD-6ABD-4027-9AC3-082AAB9A719E}" name="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920C78-9DEE-4C21-9866-8D7ECF529580}" name="productos" displayName="productos" ref="D1:J41" totalsRowShown="0" dataDxfId="33">
  <autoFilter ref="D1:J41" xr:uid="{AB920C78-9DEE-4C21-9866-8D7ECF529580}"/>
  <sortState xmlns:xlrd2="http://schemas.microsoft.com/office/spreadsheetml/2017/richdata2" ref="D2:J41">
    <sortCondition descending="1" ref="D1:D41"/>
  </sortState>
  <tableColumns count="7">
    <tableColumn id="1" xr3:uid="{3012A9A8-AE20-4298-B8CB-C0983B19D012}" name="codigo" dataDxfId="32"/>
    <tableColumn id="2" xr3:uid="{EFD9D99E-4714-460C-BF3B-2AC4F0DC0D41}" name="articulo" dataDxfId="31"/>
    <tableColumn id="6" xr3:uid="{6A4244FB-64CF-4A0B-908D-A7A94C4DC0B7}" name="Categoria" dataDxfId="30"/>
    <tableColumn id="7" xr3:uid="{986E24C9-F192-43AE-A3FD-86BBAF8115E7}" name="Marca" dataDxfId="29"/>
    <tableColumn id="3" xr3:uid="{4139A4ED-29D5-4CB4-816A-1F8F1F44530E}" name="precio" dataDxfId="28" dataCellStyle="Moneda"/>
    <tableColumn id="4" xr3:uid="{E0155690-A444-4800-BCC9-F087E550EB12}" name="stock" dataDxfId="27"/>
    <tableColumn id="5" xr3:uid="{E24F15B3-2387-4EEC-A12C-A07036A858E4}" name="situacion" dataDxfId="26">
      <calculatedColumnFormula>IF(productos[[#This Row],[stock]]&gt;=3000,"vender","reponer")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AA9159-1798-41AE-AFF3-57BB5EA4C1B7}" name="ventas" displayName="ventas" ref="D1:K16" totalsRowShown="0" headerRowDxfId="16">
  <autoFilter ref="D1:K16" xr:uid="{A1AA9159-1798-41AE-AFF3-57BB5EA4C1B7}"/>
  <sortState xmlns:xlrd2="http://schemas.microsoft.com/office/spreadsheetml/2017/richdata2" ref="D2:K16">
    <sortCondition ref="D1:D16"/>
  </sortState>
  <tableColumns count="8">
    <tableColumn id="7" xr3:uid="{A381330E-F4A8-4BBD-BC64-9A73EEDCC392}" name="N°" dataDxfId="15"/>
    <tableColumn id="1" xr3:uid="{F6E76D89-322E-4D75-A74E-68AF06F7DC96}" name="codigo" dataDxfId="14"/>
    <tableColumn id="8" xr3:uid="{4D469D01-2070-4A0E-A7F7-DAE78D72A40E}" name="Empleado" dataDxfId="13"/>
    <tableColumn id="2" xr3:uid="{353A13BB-3BAF-4C06-84B7-15F34265E66A}" name="cantidad" dataDxfId="12"/>
    <tableColumn id="3" xr3:uid="{C670BE43-C0CE-469D-BC40-FE36881E39EE}" name="precio" dataDxfId="11" dataCellStyle="Moneda"/>
    <tableColumn id="4" xr3:uid="{50C45626-2809-4E8F-B36B-CB4DC8B3CF65}" name="total" dataDxfId="10">
      <calculatedColumnFormula>ventas[[#This Row],[cantidad]]*ventas[[#This Row],[precio]]</calculatedColumnFormula>
    </tableColumn>
    <tableColumn id="5" xr3:uid="{52CA682E-6371-4436-B810-96AF5C14054D}" name="valor iva" dataDxfId="9">
      <calculatedColumnFormula>ventas[[#This Row],[total]]*IVA</calculatedColumnFormula>
    </tableColumn>
    <tableColumn id="6" xr3:uid="{24C973B9-A956-4128-BB6E-482433A106CB}" name="final" dataDxfId="8">
      <calculatedColumnFormula>ventas[[#This Row],[total]]+ventas[[#This Row],[valor iva]]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059272-EFFD-413A-B27A-5AE10C015DCA}" name="Tabla6" displayName="Tabla6" ref="A12:B22" totalsRowShown="0" headerRowDxfId="0">
  <autoFilter ref="A12:B22" xr:uid="{C8059272-EFFD-413A-B27A-5AE10C015DCA}"/>
  <tableColumns count="2">
    <tableColumn id="1" xr3:uid="{7F214FDA-80EF-4898-9A6B-920CC82C4117}" name="Mes"/>
    <tableColumn id="2" xr3:uid="{689FDF2F-4D46-4E15-855D-8F9DD5E8BEDB}" name="Total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0AA4B2-FF21-487E-8D52-AA51A2DABCAE}" name="datos" displayName="datos" ref="D1:R10" totalsRowShown="0">
  <autoFilter ref="D1:R10" xr:uid="{060AA4B2-FF21-487E-8D52-AA51A2DABCAE}"/>
  <tableColumns count="15">
    <tableColumn id="15" xr3:uid="{0F3AF9C1-CDB6-4AAB-A767-4F89B616CF90}" name="Cod"/>
    <tableColumn id="1" xr3:uid="{03647A69-AB09-4546-9A35-01FA5748E881}" name="Empleado" dataDxfId="7">
      <calculatedColumnFormula>presentismo[[#This Row],[Empleado]]</calculatedColumnFormula>
    </tableColumn>
    <tableColumn id="2" xr3:uid="{FD070192-FBFB-4B5F-891C-4B781E8A5CE1}" name="APELLIDOS" dataDxfId="25">
      <calculatedColumnFormula>TRIM(RIGHT(datos[[#This Row],[Empleado]],datos[[#This Row],[LARGO]] - (datos[[#This Row],[SEPARADOR]] )))</calculatedColumnFormula>
    </tableColumn>
    <tableColumn id="3" xr3:uid="{8D99A318-2A34-4385-91F0-D58E9DC1BA52}" name="NOMBRES" dataDxfId="24">
      <calculatedColumnFormula>TRIM(LEFT(datos[[#This Row],[Empleado]],datos[[#This Row],[SEPARADOR]] - 1))</calculatedColumnFormula>
    </tableColumn>
    <tableColumn id="11" xr3:uid="{5B59A7AC-F2FF-4996-A456-5F560134E495}" name="SEPARADOR" dataDxfId="23">
      <calculatedColumnFormula>FIND(char,datos[[#This Row],[Empleado]])</calculatedColumnFormula>
    </tableColumn>
    <tableColumn id="10" xr3:uid="{FECA3361-4790-44C8-853D-4D9FCFFEA811}" name="LARGO" dataDxfId="22">
      <calculatedColumnFormula>LEN(datos[[#This Row],[Empleado]])</calculatedColumnFormula>
    </tableColumn>
    <tableColumn id="4" xr3:uid="{7FAAF893-41DD-4433-9412-06936F9828E5}" name="NACIMIENTO"/>
    <tableColumn id="5" xr3:uid="{07169215-0BC4-44E9-856D-395AE2C6EBC8}" name="EDAD" dataDxfId="21">
      <calculatedColumnFormula>(hoy - datos[[#This Row],[NACIMIENTO]]) / 365</calculatedColumnFormula>
    </tableColumn>
    <tableColumn id="14" xr3:uid="{01515EC2-7B72-403E-A547-32DCA5CEAE28}" name="AÑOS" dataDxfId="20">
      <calculatedColumnFormula>año - YEAR(datos[[#This Row],[NACIMIENTO]])</calculatedColumnFormula>
    </tableColumn>
    <tableColumn id="6" xr3:uid="{F74EB26B-27B2-49FB-9BCC-72F74AE29654}" name="CUIL"/>
    <tableColumn id="7" xr3:uid="{2805789B-91CA-409C-BDAB-62BB352F0D98}" name="G" dataDxfId="19">
      <calculatedColumnFormula>LEFT(datos[[#This Row],[CUIL]],2)</calculatedColumnFormula>
    </tableColumn>
    <tableColumn id="8" xr3:uid="{14DD5C08-8CFD-42C3-BE14-A5CF04E19F9E}" name="ID" dataDxfId="18">
      <calculatedColumnFormula>MID(datos[[#This Row],[CUIL]],4,8)</calculatedColumnFormula>
    </tableColumn>
    <tableColumn id="9" xr3:uid="{C8B77CAE-4CF5-4504-96D2-38F6205616D6}" name="V" dataDxfId="17">
      <calculatedColumnFormula>RIGHT(datos[[#This Row],[CUIL]],1)</calculatedColumnFormula>
    </tableColumn>
    <tableColumn id="12" xr3:uid="{A491D3F6-002A-4B02-B028-EBCA76DED861}" name="Ventas" dataDxfId="6">
      <calculatedColumnFormula>COUNTIF(ventas[Empleado],datos[[#This Row],[Cod]])</calculatedColumnFormula>
    </tableColumn>
    <tableColumn id="13" xr3:uid="{787C7548-5283-459C-B371-9415455985DB}" name="Recaudado" dataCellStyle="Moneda">
      <calculatedColumnFormula>SUMIF(ventas[Empleado],datos[[#This Row],[Cod]],ventas[total])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andracedo@hotmail.com?subject=Consulta%20EXCEL" TargetMode="External"/><Relationship Id="rId2" Type="http://schemas.openxmlformats.org/officeDocument/2006/relationships/hyperlink" Target="docs\atajos-teclado.doc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lumni.education/" TargetMode="External"/><Relationship Id="rId4" Type="http://schemas.openxmlformats.org/officeDocument/2006/relationships/hyperlink" Target="https://github.com/c215714n/EducacionIT/tree/excel-x1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F1C7-2AC9-4F12-98F3-C533C654056E}">
  <dimension ref="A1:F5"/>
  <sheetViews>
    <sheetView zoomScale="235" zoomScaleNormal="235" workbookViewId="0">
      <selection activeCell="D7" sqref="D7"/>
    </sheetView>
  </sheetViews>
  <sheetFormatPr baseColWidth="10" defaultRowHeight="15" x14ac:dyDescent="0.25"/>
  <cols>
    <col min="1" max="1" width="3.7109375" bestFit="1" customWidth="1"/>
  </cols>
  <sheetData>
    <row r="1" spans="1:6" ht="45.75" customHeight="1" x14ac:dyDescent="0.25">
      <c r="A1" s="42" t="s">
        <v>105</v>
      </c>
      <c r="B1" s="17"/>
      <c r="C1" s="17"/>
      <c r="D1" s="18"/>
      <c r="E1" s="18"/>
    </row>
    <row r="2" spans="1:6" x14ac:dyDescent="0.25">
      <c r="A2" s="42"/>
      <c r="B2" s="28" t="s">
        <v>96</v>
      </c>
      <c r="C2" s="28" t="s">
        <v>97</v>
      </c>
      <c r="D2" s="28" t="s">
        <v>98</v>
      </c>
      <c r="E2" s="28" t="s">
        <v>38</v>
      </c>
      <c r="F2" s="28" t="s">
        <v>103</v>
      </c>
    </row>
    <row r="3" spans="1:6" ht="45.75" customHeight="1" x14ac:dyDescent="0.25">
      <c r="A3" s="42" t="s">
        <v>106</v>
      </c>
      <c r="B3" s="2"/>
      <c r="C3" s="2"/>
      <c r="D3" s="2"/>
      <c r="E3" s="2"/>
      <c r="F3" s="2"/>
    </row>
    <row r="4" spans="1:6" x14ac:dyDescent="0.25">
      <c r="A4" s="42"/>
      <c r="B4" s="28" t="s">
        <v>99</v>
      </c>
      <c r="C4" s="28" t="s">
        <v>100</v>
      </c>
      <c r="D4" s="28" t="s">
        <v>101</v>
      </c>
      <c r="E4" s="28" t="s">
        <v>102</v>
      </c>
      <c r="F4" s="28" t="s">
        <v>104</v>
      </c>
    </row>
    <row r="5" spans="1:6" ht="45.75" customHeight="1" x14ac:dyDescent="0.25"/>
  </sheetData>
  <mergeCells count="2">
    <mergeCell ref="A3:A4"/>
    <mergeCell ref="A1:A2"/>
  </mergeCells>
  <hyperlinks>
    <hyperlink ref="B2" location="presentismo!A1" display="Presentismo" xr:uid="{CF2D0E39-D7F2-4FE6-8A89-7F5864A0FA5B}"/>
    <hyperlink ref="C2" location="ventas!A1" display="Ventas" xr:uid="{CD1BB188-C947-43F3-8FD6-F5734811507F}"/>
    <hyperlink ref="D2" location="datos!A1" display="Datos" xr:uid="{1768D2CB-8F3E-48E3-9386-BF75FDA88A0B}"/>
    <hyperlink ref="E2" location="estadisticas!A1" display="Estadisticas" xr:uid="{D351D082-DF2D-4A98-A085-FF6654BC2F48}"/>
    <hyperlink ref="B4" r:id="rId1" xr:uid="{5010A683-4FC2-4B8A-9236-A13C6A258433}"/>
    <hyperlink ref="C4" r:id="rId2" xr:uid="{5994AECA-CC9C-4DE4-BF91-9C967EFF145B}"/>
    <hyperlink ref="D4" r:id="rId3" xr:uid="{2DC23262-2DF5-4544-B763-688E07CB7E66}"/>
    <hyperlink ref="E4" r:id="rId4" xr:uid="{0C9A5DBC-7D8B-49B7-B650-AE3BC05042E9}"/>
    <hyperlink ref="F4" r:id="rId5" xr:uid="{B7A1CC0F-EA38-463D-90FA-47399A1E8740}"/>
    <hyperlink ref="F2" location="menu!A1" display="Inicio" xr:uid="{5A00CBE5-8C90-4CFE-8730-835C5DC6996E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158F-7E6E-415D-AB2C-1E38F056A653}">
  <dimension ref="A1:AK12"/>
  <sheetViews>
    <sheetView zoomScale="145" zoomScaleNormal="145" workbookViewId="0">
      <pane xSplit="5" ySplit="1" topLeftCell="F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baseColWidth="10" defaultRowHeight="15" x14ac:dyDescent="0.25"/>
  <cols>
    <col min="1" max="1" width="10.7109375" bestFit="1" customWidth="1"/>
    <col min="2" max="2" width="6.7109375" bestFit="1" customWidth="1"/>
    <col min="3" max="3" width="6.85546875" bestFit="1" customWidth="1"/>
    <col min="4" max="4" width="2.42578125" customWidth="1"/>
    <col min="5" max="5" width="21.85546875" customWidth="1"/>
    <col min="6" max="35" width="4.85546875" customWidth="1"/>
    <col min="36" max="37" width="8.28515625" bestFit="1" customWidth="1"/>
    <col min="38" max="38" width="3.42578125" customWidth="1"/>
    <col min="39" max="39" width="11.85546875" customWidth="1"/>
    <col min="40" max="40" width="5.85546875" customWidth="1"/>
    <col min="41" max="41" width="5.5703125" customWidth="1"/>
    <col min="43" max="43" width="11.85546875" bestFit="1" customWidth="1"/>
  </cols>
  <sheetData>
    <row r="1" spans="1:37" s="2" customFormat="1" ht="40.5" x14ac:dyDescent="0.25">
      <c r="A1" s="43" t="s">
        <v>107</v>
      </c>
      <c r="B1" s="43"/>
      <c r="C1" s="43"/>
      <c r="E1" s="2" t="s">
        <v>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spans="1:37" x14ac:dyDescent="0.25">
      <c r="A2" s="2" t="s">
        <v>108</v>
      </c>
      <c r="B2" s="2" t="s">
        <v>178</v>
      </c>
      <c r="C2" s="2" t="s">
        <v>179</v>
      </c>
      <c r="E2" t="s">
        <v>74</v>
      </c>
      <c r="F2" s="1" t="s">
        <v>37</v>
      </c>
      <c r="G2" s="1"/>
      <c r="H2" s="1" t="s">
        <v>37</v>
      </c>
      <c r="I2" s="1" t="s">
        <v>37</v>
      </c>
      <c r="J2" s="1" t="s">
        <v>37</v>
      </c>
      <c r="K2" s="1"/>
      <c r="L2" s="1" t="s">
        <v>37</v>
      </c>
      <c r="M2" t="s">
        <v>37</v>
      </c>
      <c r="N2" t="s">
        <v>37</v>
      </c>
      <c r="O2" t="s">
        <v>37</v>
      </c>
      <c r="Q2" s="1"/>
      <c r="R2" s="1" t="s">
        <v>37</v>
      </c>
      <c r="S2" s="1" t="s">
        <v>37</v>
      </c>
      <c r="T2" s="1"/>
      <c r="U2" s="1" t="s">
        <v>37</v>
      </c>
      <c r="V2" s="1"/>
      <c r="W2" s="1" t="s">
        <v>37</v>
      </c>
      <c r="X2" s="1" t="s">
        <v>37</v>
      </c>
      <c r="Y2" s="1" t="s">
        <v>37</v>
      </c>
      <c r="Z2" s="1" t="s">
        <v>37</v>
      </c>
      <c r="AA2" s="1"/>
      <c r="AB2" t="s">
        <v>37</v>
      </c>
      <c r="AC2" t="s">
        <v>37</v>
      </c>
      <c r="AD2" s="1"/>
      <c r="AE2" s="1" t="s">
        <v>37</v>
      </c>
      <c r="AF2" s="1" t="s">
        <v>37</v>
      </c>
      <c r="AG2" s="1" t="s">
        <v>37</v>
      </c>
      <c r="AH2" s="1" t="s">
        <v>37</v>
      </c>
      <c r="AI2" s="1" t="s">
        <v>37</v>
      </c>
      <c r="AJ2">
        <f t="shared" ref="AJ2:AJ8" si="0">COUNTA(F2:AI2)</f>
        <v>22</v>
      </c>
      <c r="AK2">
        <f t="shared" ref="AK2:AK8" si="1">COUNTBLANK(F2:AI2)</f>
        <v>8</v>
      </c>
    </row>
    <row r="3" spans="1:37" x14ac:dyDescent="0.25">
      <c r="A3" t="s">
        <v>47</v>
      </c>
      <c r="B3">
        <f>MAX(presentismo[asist])</f>
        <v>26</v>
      </c>
      <c r="C3">
        <f>MAX(presentismo[aus])</f>
        <v>12</v>
      </c>
      <c r="E3" t="s">
        <v>1</v>
      </c>
      <c r="F3" s="1"/>
      <c r="G3" s="1" t="s">
        <v>37</v>
      </c>
      <c r="H3" s="1" t="s">
        <v>37</v>
      </c>
      <c r="I3" s="1" t="s">
        <v>37</v>
      </c>
      <c r="J3" s="1"/>
      <c r="K3" s="1" t="s">
        <v>37</v>
      </c>
      <c r="L3" s="1"/>
      <c r="M3" t="s">
        <v>37</v>
      </c>
      <c r="N3" t="s">
        <v>37</v>
      </c>
      <c r="O3" t="s">
        <v>37</v>
      </c>
      <c r="P3" t="s">
        <v>37</v>
      </c>
      <c r="Q3" s="1" t="s">
        <v>37</v>
      </c>
      <c r="R3" s="1"/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37</v>
      </c>
      <c r="Z3" s="1" t="s">
        <v>37</v>
      </c>
      <c r="AA3" s="1" t="s">
        <v>37</v>
      </c>
      <c r="AC3" t="s">
        <v>37</v>
      </c>
      <c r="AD3" s="1" t="s">
        <v>37</v>
      </c>
      <c r="AE3" s="1" t="s">
        <v>37</v>
      </c>
      <c r="AF3" s="1" t="s">
        <v>37</v>
      </c>
      <c r="AG3" s="1"/>
      <c r="AH3" t="s">
        <v>37</v>
      </c>
      <c r="AI3" t="s">
        <v>37</v>
      </c>
      <c r="AJ3">
        <f t="shared" si="0"/>
        <v>24</v>
      </c>
      <c r="AK3">
        <f t="shared" si="1"/>
        <v>6</v>
      </c>
    </row>
    <row r="4" spans="1:37" x14ac:dyDescent="0.25">
      <c r="A4" t="s">
        <v>48</v>
      </c>
      <c r="B4">
        <f>MIN(presentismo[asist])</f>
        <v>18</v>
      </c>
      <c r="C4">
        <f>MIN(presentismo[aus])</f>
        <v>5</v>
      </c>
      <c r="E4" t="s">
        <v>75</v>
      </c>
      <c r="F4" s="1" t="s">
        <v>37</v>
      </c>
      <c r="G4" s="1"/>
      <c r="H4" s="1" t="s">
        <v>37</v>
      </c>
      <c r="I4" s="1"/>
      <c r="J4" s="1" t="s">
        <v>37</v>
      </c>
      <c r="K4" s="1" t="s">
        <v>37</v>
      </c>
      <c r="L4" s="1" t="s">
        <v>37</v>
      </c>
      <c r="N4" t="s">
        <v>37</v>
      </c>
      <c r="O4" t="s">
        <v>37</v>
      </c>
      <c r="Q4" t="s">
        <v>37</v>
      </c>
      <c r="R4" t="s">
        <v>37</v>
      </c>
      <c r="T4" s="1"/>
      <c r="U4" s="1" t="s">
        <v>37</v>
      </c>
      <c r="V4" s="1"/>
      <c r="W4" s="1" t="s">
        <v>37</v>
      </c>
      <c r="X4" s="1"/>
      <c r="Y4" s="1" t="s">
        <v>37</v>
      </c>
      <c r="Z4" s="1"/>
      <c r="AA4" t="s">
        <v>37</v>
      </c>
      <c r="AB4" t="s">
        <v>37</v>
      </c>
      <c r="AC4" s="1" t="s">
        <v>37</v>
      </c>
      <c r="AD4" s="1" t="s">
        <v>37</v>
      </c>
      <c r="AE4" s="1" t="s">
        <v>37</v>
      </c>
      <c r="AF4" s="1" t="s">
        <v>37</v>
      </c>
      <c r="AG4" s="1" t="s">
        <v>37</v>
      </c>
      <c r="AI4" t="s">
        <v>37</v>
      </c>
      <c r="AJ4">
        <f t="shared" si="0"/>
        <v>20</v>
      </c>
      <c r="AK4">
        <f t="shared" si="1"/>
        <v>10</v>
      </c>
    </row>
    <row r="5" spans="1:37" x14ac:dyDescent="0.25">
      <c r="A5" t="s">
        <v>49</v>
      </c>
      <c r="B5" s="5">
        <f>AVERAGE(presentismo[asist])</f>
        <v>21.857142857142858</v>
      </c>
      <c r="C5" s="5">
        <f>AVERAGE(presentismo[aus])</f>
        <v>8.2857142857142865</v>
      </c>
      <c r="E5" t="s">
        <v>2</v>
      </c>
      <c r="F5" t="s">
        <v>37</v>
      </c>
      <c r="G5" t="s">
        <v>37</v>
      </c>
      <c r="I5" t="s">
        <v>37</v>
      </c>
      <c r="J5" s="1" t="s">
        <v>37</v>
      </c>
      <c r="K5" s="1" t="s">
        <v>37</v>
      </c>
      <c r="L5" s="1" t="s">
        <v>37</v>
      </c>
      <c r="M5" s="1"/>
      <c r="N5" s="1" t="s">
        <v>37</v>
      </c>
      <c r="O5" t="s">
        <v>37</v>
      </c>
      <c r="P5" t="s">
        <v>37</v>
      </c>
      <c r="Q5" t="s">
        <v>37</v>
      </c>
      <c r="S5" s="1"/>
      <c r="T5" t="s">
        <v>37</v>
      </c>
      <c r="U5" s="1"/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  <c r="AA5" s="1" t="s">
        <v>37</v>
      </c>
      <c r="AB5" s="1" t="s">
        <v>37</v>
      </c>
      <c r="AC5" s="1" t="s">
        <v>37</v>
      </c>
      <c r="AD5" s="1"/>
      <c r="AE5" t="s">
        <v>37</v>
      </c>
      <c r="AF5" t="s">
        <v>37</v>
      </c>
      <c r="AG5" t="s">
        <v>37</v>
      </c>
      <c r="AH5" t="s">
        <v>37</v>
      </c>
      <c r="AI5" s="1" t="s">
        <v>37</v>
      </c>
      <c r="AJ5">
        <f t="shared" si="0"/>
        <v>24</v>
      </c>
      <c r="AK5">
        <f t="shared" si="1"/>
        <v>6</v>
      </c>
    </row>
    <row r="6" spans="1:37" x14ac:dyDescent="0.25">
      <c r="A6" t="s">
        <v>50</v>
      </c>
      <c r="B6">
        <f>MEDIAN(presentismo[asist])</f>
        <v>22</v>
      </c>
      <c r="C6">
        <f>MEDIAN(presentismo[aus])</f>
        <v>8</v>
      </c>
      <c r="E6" t="s">
        <v>76</v>
      </c>
      <c r="F6" t="s">
        <v>37</v>
      </c>
      <c r="G6" t="s">
        <v>37</v>
      </c>
      <c r="H6" s="1" t="s">
        <v>37</v>
      </c>
      <c r="I6" s="1" t="s">
        <v>37</v>
      </c>
      <c r="J6" s="1" t="s">
        <v>37</v>
      </c>
      <c r="K6" s="1" t="s">
        <v>37</v>
      </c>
      <c r="L6" s="1"/>
      <c r="M6" s="1" t="s">
        <v>37</v>
      </c>
      <c r="N6" s="1"/>
      <c r="O6" t="s">
        <v>37</v>
      </c>
      <c r="P6" t="s">
        <v>37</v>
      </c>
      <c r="Q6" t="s">
        <v>37</v>
      </c>
      <c r="R6" t="s">
        <v>37</v>
      </c>
      <c r="S6" s="1" t="s">
        <v>37</v>
      </c>
      <c r="T6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" t="s">
        <v>37</v>
      </c>
      <c r="AB6" s="1" t="s">
        <v>37</v>
      </c>
      <c r="AC6" s="1" t="s">
        <v>37</v>
      </c>
      <c r="AD6" s="1" t="s">
        <v>37</v>
      </c>
      <c r="AF6" t="s">
        <v>37</v>
      </c>
      <c r="AH6" t="s">
        <v>37</v>
      </c>
      <c r="AI6" s="1" t="str">
        <f>TRIM(AI7)</f>
        <v/>
      </c>
      <c r="AJ6">
        <f t="shared" si="0"/>
        <v>26</v>
      </c>
      <c r="AK6">
        <f t="shared" si="1"/>
        <v>5</v>
      </c>
    </row>
    <row r="7" spans="1:37" x14ac:dyDescent="0.25">
      <c r="A7" t="s">
        <v>51</v>
      </c>
      <c r="B7">
        <f>MODE(presentismo[asist])</f>
        <v>24</v>
      </c>
      <c r="C7">
        <f>MODE(presentismo[aus])</f>
        <v>6</v>
      </c>
      <c r="E7" t="s">
        <v>3</v>
      </c>
      <c r="F7" t="s">
        <v>37</v>
      </c>
      <c r="G7" t="s">
        <v>37</v>
      </c>
      <c r="H7" s="1" t="s">
        <v>37</v>
      </c>
      <c r="I7" s="1" t="s">
        <v>37</v>
      </c>
      <c r="J7" s="1"/>
      <c r="K7" s="1"/>
      <c r="L7" s="1" t="s">
        <v>37</v>
      </c>
      <c r="M7" s="1" t="s">
        <v>37</v>
      </c>
      <c r="N7" s="1" t="s">
        <v>37</v>
      </c>
      <c r="P7" t="s">
        <v>37</v>
      </c>
      <c r="Q7" t="s">
        <v>37</v>
      </c>
      <c r="S7" t="s">
        <v>37</v>
      </c>
      <c r="U7" s="1"/>
      <c r="V7" s="1" t="s">
        <v>37</v>
      </c>
      <c r="W7" s="1" t="s">
        <v>37</v>
      </c>
      <c r="X7" s="1" t="s">
        <v>37</v>
      </c>
      <c r="Y7" s="1" t="s">
        <v>37</v>
      </c>
      <c r="Z7" s="1"/>
      <c r="AA7" s="1"/>
      <c r="AB7" s="1" t="s">
        <v>37</v>
      </c>
      <c r="AC7" s="1"/>
      <c r="AD7" t="s">
        <v>37</v>
      </c>
      <c r="AE7" t="s">
        <v>37</v>
      </c>
      <c r="AF7" s="1" t="s">
        <v>37</v>
      </c>
      <c r="AG7" s="1"/>
      <c r="AH7" s="1" t="s">
        <v>37</v>
      </c>
      <c r="AJ7">
        <f t="shared" si="0"/>
        <v>19</v>
      </c>
      <c r="AK7">
        <f t="shared" si="1"/>
        <v>11</v>
      </c>
    </row>
    <row r="8" spans="1:37" x14ac:dyDescent="0.25">
      <c r="A8" t="s">
        <v>52</v>
      </c>
      <c r="B8">
        <f>COUNT(presentismo[asist])</f>
        <v>7</v>
      </c>
      <c r="C8">
        <f>COUNT(presentismo[aus])</f>
        <v>7</v>
      </c>
      <c r="E8" t="s">
        <v>4</v>
      </c>
      <c r="G8" t="s">
        <v>37</v>
      </c>
      <c r="H8" s="1" t="s">
        <v>37</v>
      </c>
      <c r="I8" s="1"/>
      <c r="J8" s="1" t="s">
        <v>37</v>
      </c>
      <c r="K8" t="s">
        <v>37</v>
      </c>
      <c r="L8" s="1" t="s">
        <v>37</v>
      </c>
      <c r="M8" s="1" t="s">
        <v>37</v>
      </c>
      <c r="N8" s="1"/>
      <c r="O8" t="s">
        <v>37</v>
      </c>
      <c r="Q8" t="s">
        <v>37</v>
      </c>
      <c r="S8" t="s">
        <v>37</v>
      </c>
      <c r="U8" t="s">
        <v>37</v>
      </c>
      <c r="W8" s="1"/>
      <c r="X8" s="1" t="s">
        <v>37</v>
      </c>
      <c r="AA8" s="1" t="s">
        <v>37</v>
      </c>
      <c r="AB8" s="1" t="s">
        <v>37</v>
      </c>
      <c r="AC8" s="1" t="s">
        <v>37</v>
      </c>
      <c r="AE8" t="s">
        <v>37</v>
      </c>
      <c r="AF8" s="1"/>
      <c r="AG8" s="1" t="s">
        <v>37</v>
      </c>
      <c r="AH8" s="1" t="s">
        <v>37</v>
      </c>
      <c r="AI8" s="1" t="s">
        <v>37</v>
      </c>
      <c r="AJ8">
        <f t="shared" si="0"/>
        <v>18</v>
      </c>
      <c r="AK8">
        <f t="shared" si="1"/>
        <v>12</v>
      </c>
    </row>
    <row r="9" spans="1:37" x14ac:dyDescent="0.25">
      <c r="A9" t="s">
        <v>53</v>
      </c>
      <c r="B9">
        <f>SUM(presentismo[asist])</f>
        <v>153</v>
      </c>
      <c r="C9">
        <f>SUM(presentismo[aus])</f>
        <v>58</v>
      </c>
      <c r="E9">
        <f>COUNTA(presentismo[Empleado])</f>
        <v>7</v>
      </c>
      <c r="F9">
        <f>COUNTBLANK(presentismo[1/9/22])</f>
        <v>2</v>
      </c>
      <c r="G9">
        <f>COUNTBLANK(presentismo[2/9/22])</f>
        <v>2</v>
      </c>
      <c r="H9">
        <f>COUNTBLANK(presentismo[3/9/22])</f>
        <v>1</v>
      </c>
      <c r="I9">
        <f>COUNTBLANK(presentismo[4/9/22])</f>
        <v>2</v>
      </c>
      <c r="J9">
        <f>COUNTBLANK(presentismo[5/9/22])</f>
        <v>2</v>
      </c>
      <c r="K9">
        <f>COUNTBLANK(presentismo[6/9/22])</f>
        <v>2</v>
      </c>
      <c r="L9">
        <f>COUNTBLANK(presentismo[7/9/22])</f>
        <v>2</v>
      </c>
      <c r="M9">
        <f>COUNTBLANK(presentismo[8/9/22])</f>
        <v>2</v>
      </c>
      <c r="N9">
        <f>COUNTBLANK(presentismo[9/9/22])</f>
        <v>2</v>
      </c>
      <c r="O9">
        <f>COUNTBLANK(presentismo[10/9/22])</f>
        <v>1</v>
      </c>
      <c r="P9">
        <f>COUNTBLANK(presentismo[11/9/22])</f>
        <v>3</v>
      </c>
      <c r="Q9">
        <f>COUNTBLANK(presentismo[12/9/22])</f>
        <v>1</v>
      </c>
      <c r="R9">
        <f>COUNTBLANK(presentismo[13/9/22])</f>
        <v>4</v>
      </c>
      <c r="S9">
        <f>COUNTBLANK(presentismo[14/9/22])</f>
        <v>2</v>
      </c>
      <c r="T9">
        <f>COUNTBLANK(presentismo[15/9/22])</f>
        <v>4</v>
      </c>
      <c r="U9">
        <f>COUNTBLANK(presentismo[16/9/22])</f>
        <v>2</v>
      </c>
      <c r="V9">
        <f>COUNTBLANK(presentismo[17/9/22])</f>
        <v>3</v>
      </c>
      <c r="W9">
        <f>COUNTBLANK(presentismo[18/9/22])</f>
        <v>1</v>
      </c>
      <c r="X9">
        <f>COUNTBLANK(presentismo[19/9/22])</f>
        <v>1</v>
      </c>
      <c r="Y9">
        <f>COUNTBLANK(presentismo[20/9/22])</f>
        <v>1</v>
      </c>
      <c r="Z9">
        <f>COUNTBLANK(presentismo[21/9/22])</f>
        <v>3</v>
      </c>
      <c r="AA9">
        <f>COUNTBLANK(presentismo[22/9/22])</f>
        <v>2</v>
      </c>
      <c r="AB9">
        <f>COUNTBLANK(presentismo[23/9/22])</f>
        <v>1</v>
      </c>
      <c r="AC9">
        <f>COUNTBLANK(presentismo[24/9/22])</f>
        <v>1</v>
      </c>
      <c r="AD9">
        <f>COUNTBLANK(presentismo[25/9/22])</f>
        <v>3</v>
      </c>
      <c r="AE9">
        <f>COUNTBLANK(presentismo[26/9/22])</f>
        <v>1</v>
      </c>
      <c r="AF9">
        <f>COUNTBLANK(presentismo[27/9/22])</f>
        <v>1</v>
      </c>
      <c r="AG9">
        <f>COUNTBLANK(presentismo[28/9/22])</f>
        <v>3</v>
      </c>
      <c r="AH9">
        <f>COUNTBLANK(presentismo[29/9/22])</f>
        <v>1</v>
      </c>
      <c r="AI9">
        <f>COUNTBLANK(presentismo[30/9/22])</f>
        <v>2</v>
      </c>
      <c r="AJ9">
        <f>SUBTOTAL(109,presentismo[asist])</f>
        <v>153</v>
      </c>
      <c r="AK9">
        <f>SUBTOTAL(109,presentismo[aus])</f>
        <v>58</v>
      </c>
    </row>
    <row r="10" spans="1:37" x14ac:dyDescent="0.25">
      <c r="AJ10" s="4"/>
      <c r="AK10" s="4"/>
    </row>
    <row r="11" spans="1:37" x14ac:dyDescent="0.25">
      <c r="AJ11" s="4"/>
      <c r="AK11" s="4"/>
    </row>
    <row r="12" spans="1:37" x14ac:dyDescent="0.25">
      <c r="AJ12" s="4"/>
      <c r="AK12" s="4"/>
    </row>
  </sheetData>
  <mergeCells count="1">
    <mergeCell ref="A1:C1"/>
  </mergeCells>
  <phoneticPr fontId="2" type="noConversion"/>
  <hyperlinks>
    <hyperlink ref="A1:C1" location="menu!A1" display="volver al inicio" xr:uid="{926951D3-E7E1-4669-A70E-43429D0EA1E6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4083-2D4F-46A1-9719-B19D9D684BF4}">
  <dimension ref="A1:J41"/>
  <sheetViews>
    <sheetView topLeftCell="A2" zoomScale="130" zoomScaleNormal="130" workbookViewId="0">
      <selection activeCell="I26" sqref="I26"/>
    </sheetView>
  </sheetViews>
  <sheetFormatPr baseColWidth="10" defaultRowHeight="15" x14ac:dyDescent="0.25"/>
  <cols>
    <col min="3" max="3" width="2.7109375" customWidth="1"/>
    <col min="5" max="5" width="16.85546875" bestFit="1" customWidth="1"/>
    <col min="6" max="6" width="16.85546875" customWidth="1"/>
    <col min="7" max="7" width="11.7109375" bestFit="1" customWidth="1"/>
    <col min="8" max="8" width="15.42578125" style="6" bestFit="1" customWidth="1"/>
    <col min="9" max="9" width="9.42578125" customWidth="1"/>
  </cols>
  <sheetData>
    <row r="1" spans="1:10" ht="21.75" customHeight="1" x14ac:dyDescent="0.25">
      <c r="A1" s="44" t="s">
        <v>107</v>
      </c>
      <c r="B1" s="44"/>
      <c r="C1" s="29"/>
      <c r="D1" t="s">
        <v>43</v>
      </c>
      <c r="E1" t="s">
        <v>110</v>
      </c>
      <c r="F1" t="s">
        <v>120</v>
      </c>
      <c r="G1" t="s">
        <v>126</v>
      </c>
      <c r="H1" s="6" t="s">
        <v>44</v>
      </c>
      <c r="I1" t="s">
        <v>109</v>
      </c>
      <c r="J1" t="s">
        <v>111</v>
      </c>
    </row>
    <row r="2" spans="1:10" x14ac:dyDescent="0.25">
      <c r="D2">
        <v>40</v>
      </c>
      <c r="E2" s="21" t="s">
        <v>119</v>
      </c>
      <c r="F2" s="21" t="s">
        <v>123</v>
      </c>
      <c r="G2" s="21" t="s">
        <v>129</v>
      </c>
      <c r="H2" s="26">
        <v>32768</v>
      </c>
      <c r="I2" s="21">
        <v>8500</v>
      </c>
      <c r="J2" s="21" t="str">
        <f>IF(productos[[#This Row],[stock]]&gt;=3000,"vender","reponer")</f>
        <v>vender</v>
      </c>
    </row>
    <row r="3" spans="1:10" x14ac:dyDescent="0.25">
      <c r="D3">
        <v>39</v>
      </c>
      <c r="E3" s="24" t="s">
        <v>157</v>
      </c>
      <c r="F3" s="24" t="s">
        <v>125</v>
      </c>
      <c r="G3" s="24" t="s">
        <v>160</v>
      </c>
      <c r="H3" s="26">
        <v>56470</v>
      </c>
      <c r="I3" s="24">
        <v>7594</v>
      </c>
      <c r="J3" s="24" t="str">
        <f>IF(productos[[#This Row],[stock]]&gt;=3000,"vender","reponer")</f>
        <v>vender</v>
      </c>
    </row>
    <row r="4" spans="1:10" x14ac:dyDescent="0.25">
      <c r="D4">
        <v>38</v>
      </c>
      <c r="E4" s="24" t="s">
        <v>156</v>
      </c>
      <c r="F4" s="24" t="s">
        <v>125</v>
      </c>
      <c r="G4" s="24" t="s">
        <v>160</v>
      </c>
      <c r="H4" s="26">
        <v>95870</v>
      </c>
      <c r="I4" s="24">
        <v>9584</v>
      </c>
      <c r="J4" s="24" t="str">
        <f>IF(productos[[#This Row],[stock]]&gt;=3000,"vender","reponer")</f>
        <v>vender</v>
      </c>
    </row>
    <row r="5" spans="1:10" x14ac:dyDescent="0.25">
      <c r="D5">
        <v>37</v>
      </c>
      <c r="E5" s="24" t="s">
        <v>170</v>
      </c>
      <c r="F5" s="24" t="s">
        <v>122</v>
      </c>
      <c r="G5" s="24" t="s">
        <v>177</v>
      </c>
      <c r="H5" s="26">
        <v>543200</v>
      </c>
      <c r="I5" s="24">
        <v>7690</v>
      </c>
      <c r="J5" s="24" t="str">
        <f>IF(productos[[#This Row],[stock]]&gt;=3000,"vender","reponer")</f>
        <v>vender</v>
      </c>
    </row>
    <row r="6" spans="1:10" x14ac:dyDescent="0.25">
      <c r="D6">
        <v>36</v>
      </c>
      <c r="E6" s="24" t="s">
        <v>149</v>
      </c>
      <c r="F6" s="24" t="s">
        <v>121</v>
      </c>
      <c r="G6" s="24" t="s">
        <v>127</v>
      </c>
      <c r="H6" s="26">
        <v>34000</v>
      </c>
      <c r="I6" s="24">
        <v>300</v>
      </c>
      <c r="J6" s="24" t="str">
        <f>IF(productos[[#This Row],[stock]]&gt;=3000,"vender","reponer")</f>
        <v>reponer</v>
      </c>
    </row>
    <row r="7" spans="1:10" x14ac:dyDescent="0.25">
      <c r="D7">
        <v>35</v>
      </c>
      <c r="E7" s="24" t="s">
        <v>148</v>
      </c>
      <c r="F7" s="24" t="s">
        <v>121</v>
      </c>
      <c r="G7" s="24" t="s">
        <v>127</v>
      </c>
      <c r="H7" s="26">
        <v>50199.99</v>
      </c>
      <c r="I7" s="24">
        <v>4000</v>
      </c>
      <c r="J7" s="24" t="str">
        <f>IF(productos[[#This Row],[stock]]&gt;=3000,"vender","reponer")</f>
        <v>vender</v>
      </c>
    </row>
    <row r="8" spans="1:10" x14ac:dyDescent="0.25">
      <c r="D8">
        <v>34</v>
      </c>
      <c r="E8" s="24" t="s">
        <v>169</v>
      </c>
      <c r="F8" s="24" t="s">
        <v>123</v>
      </c>
      <c r="G8" s="24" t="s">
        <v>177</v>
      </c>
      <c r="H8" s="26">
        <v>8400</v>
      </c>
      <c r="I8" s="24">
        <v>2349</v>
      </c>
      <c r="J8" s="24" t="str">
        <f>IF(productos[[#This Row],[stock]]&gt;=3000,"vender","reponer")</f>
        <v>reponer</v>
      </c>
    </row>
    <row r="9" spans="1:10" x14ac:dyDescent="0.25">
      <c r="D9">
        <v>33</v>
      </c>
      <c r="E9" s="24" t="s">
        <v>118</v>
      </c>
      <c r="F9" s="24" t="s">
        <v>122</v>
      </c>
      <c r="G9" s="24" t="s">
        <v>127</v>
      </c>
      <c r="H9" s="26">
        <v>65536</v>
      </c>
      <c r="I9" s="24">
        <v>2500</v>
      </c>
      <c r="J9" s="24" t="str">
        <f>IF(productos[[#This Row],[stock]]&gt;=3000,"vender","reponer")</f>
        <v>reponer</v>
      </c>
    </row>
    <row r="10" spans="1:10" x14ac:dyDescent="0.25">
      <c r="D10">
        <v>32</v>
      </c>
      <c r="E10" s="21" t="s">
        <v>168</v>
      </c>
      <c r="F10" s="21" t="s">
        <v>123</v>
      </c>
      <c r="G10" s="21" t="s">
        <v>176</v>
      </c>
      <c r="H10" s="26">
        <v>23400</v>
      </c>
      <c r="I10" s="21">
        <v>2934</v>
      </c>
      <c r="J10" s="21" t="str">
        <f>IF(productos[[#This Row],[stock]]&gt;=3000,"vender","reponer")</f>
        <v>reponer</v>
      </c>
    </row>
    <row r="11" spans="1:10" x14ac:dyDescent="0.25">
      <c r="D11">
        <v>31</v>
      </c>
      <c r="E11" s="21" t="s">
        <v>113</v>
      </c>
      <c r="F11" s="21" t="s">
        <v>125</v>
      </c>
      <c r="G11" s="21" t="s">
        <v>129</v>
      </c>
      <c r="H11" s="25">
        <v>25399.99</v>
      </c>
      <c r="I11" s="21">
        <v>500</v>
      </c>
      <c r="J11" s="21" t="str">
        <f>IF(productos[[#This Row],[stock]]&gt;=3000,"vender","reponer")</f>
        <v>reponer</v>
      </c>
    </row>
    <row r="12" spans="1:10" x14ac:dyDescent="0.25">
      <c r="D12">
        <v>30</v>
      </c>
      <c r="E12" s="21" t="s">
        <v>167</v>
      </c>
      <c r="F12" s="21" t="s">
        <v>123</v>
      </c>
      <c r="G12" s="21" t="s">
        <v>175</v>
      </c>
      <c r="H12" s="25">
        <v>46700</v>
      </c>
      <c r="I12" s="21">
        <v>500</v>
      </c>
      <c r="J12" s="21" t="str">
        <f>IF(productos[[#This Row],[stock]]&gt;=3000,"vender","reponer")</f>
        <v>reponer</v>
      </c>
    </row>
    <row r="13" spans="1:10" x14ac:dyDescent="0.25">
      <c r="D13">
        <v>29</v>
      </c>
      <c r="E13" s="21" t="s">
        <v>166</v>
      </c>
      <c r="F13" s="21" t="s">
        <v>124</v>
      </c>
      <c r="G13" s="21" t="s">
        <v>171</v>
      </c>
      <c r="H13" s="25">
        <v>12400</v>
      </c>
      <c r="I13" s="21">
        <v>349</v>
      </c>
      <c r="J13" s="21" t="str">
        <f>IF(productos[[#This Row],[stock]]&gt;=3000,"vender","reponer")</f>
        <v>reponer</v>
      </c>
    </row>
    <row r="14" spans="1:10" x14ac:dyDescent="0.25">
      <c r="D14">
        <v>28</v>
      </c>
      <c r="E14" s="21" t="s">
        <v>155</v>
      </c>
      <c r="F14" s="21" t="s">
        <v>125</v>
      </c>
      <c r="G14" s="21" t="s">
        <v>160</v>
      </c>
      <c r="H14" s="25">
        <v>12800</v>
      </c>
      <c r="I14" s="21">
        <v>2348</v>
      </c>
      <c r="J14" s="21" t="str">
        <f>IF(productos[[#This Row],[stock]]&gt;=3000,"vender","reponer")</f>
        <v>reponer</v>
      </c>
    </row>
    <row r="15" spans="1:10" x14ac:dyDescent="0.25">
      <c r="D15">
        <v>27</v>
      </c>
      <c r="E15" s="21" t="s">
        <v>115</v>
      </c>
      <c r="F15" s="21" t="s">
        <v>123</v>
      </c>
      <c r="G15" s="21" t="s">
        <v>129</v>
      </c>
      <c r="H15" s="25">
        <v>4096</v>
      </c>
      <c r="I15" s="21">
        <v>4200</v>
      </c>
      <c r="J15" s="21" t="str">
        <f>IF(productos[[#This Row],[stock]]&gt;=3000,"vender","reponer")</f>
        <v>vender</v>
      </c>
    </row>
    <row r="16" spans="1:10" x14ac:dyDescent="0.25">
      <c r="D16">
        <v>26</v>
      </c>
      <c r="E16" s="21" t="s">
        <v>117</v>
      </c>
      <c r="F16" s="21" t="s">
        <v>121</v>
      </c>
      <c r="G16" s="21" t="s">
        <v>128</v>
      </c>
      <c r="H16" s="25">
        <v>8192</v>
      </c>
      <c r="I16" s="21">
        <v>800</v>
      </c>
      <c r="J16" s="21" t="str">
        <f>IF(productos[[#This Row],[stock]]&gt;=3000,"vender","reponer")</f>
        <v>reponer</v>
      </c>
    </row>
    <row r="17" spans="4:10" x14ac:dyDescent="0.25">
      <c r="D17">
        <v>25</v>
      </c>
      <c r="E17" s="21" t="s">
        <v>154</v>
      </c>
      <c r="F17" s="21" t="s">
        <v>125</v>
      </c>
      <c r="G17" s="21" t="s">
        <v>160</v>
      </c>
      <c r="H17" s="25">
        <v>63200</v>
      </c>
      <c r="I17" s="21">
        <v>2349</v>
      </c>
      <c r="J17" s="21" t="str">
        <f>IF(productos[[#This Row],[stock]]&gt;=3000,"vender","reponer")</f>
        <v>reponer</v>
      </c>
    </row>
    <row r="18" spans="4:10" x14ac:dyDescent="0.25">
      <c r="D18">
        <v>24</v>
      </c>
      <c r="E18" s="21" t="s">
        <v>153</v>
      </c>
      <c r="F18" s="21" t="s">
        <v>125</v>
      </c>
      <c r="G18" s="21" t="s">
        <v>158</v>
      </c>
      <c r="H18" s="25">
        <v>3000</v>
      </c>
      <c r="I18" s="21">
        <v>2384</v>
      </c>
      <c r="J18" s="21" t="str">
        <f>IF(productos[[#This Row],[stock]]&gt;=3000,"vender","reponer")</f>
        <v>reponer</v>
      </c>
    </row>
    <row r="19" spans="4:10" x14ac:dyDescent="0.25">
      <c r="D19">
        <v>23</v>
      </c>
      <c r="E19" s="21" t="s">
        <v>152</v>
      </c>
      <c r="F19" s="21" t="s">
        <v>125</v>
      </c>
      <c r="G19" s="21" t="s">
        <v>159</v>
      </c>
      <c r="H19" s="25">
        <v>6200</v>
      </c>
      <c r="I19" s="21">
        <v>2348</v>
      </c>
      <c r="J19" s="21" t="str">
        <f>IF(productos[[#This Row],[stock]]&gt;=3000,"vender","reponer")</f>
        <v>reponer</v>
      </c>
    </row>
    <row r="20" spans="4:10" x14ac:dyDescent="0.25">
      <c r="D20">
        <v>22</v>
      </c>
      <c r="E20" s="21" t="s">
        <v>151</v>
      </c>
      <c r="F20" s="21" t="s">
        <v>125</v>
      </c>
      <c r="G20" s="21" t="s">
        <v>159</v>
      </c>
      <c r="H20" s="25">
        <v>120420</v>
      </c>
      <c r="I20" s="21">
        <v>3849</v>
      </c>
      <c r="J20" s="21" t="str">
        <f>IF(productos[[#This Row],[stock]]&gt;=3000,"vender","reponer")</f>
        <v>vender</v>
      </c>
    </row>
    <row r="21" spans="4:10" x14ac:dyDescent="0.25">
      <c r="D21">
        <v>21</v>
      </c>
      <c r="E21" s="21" t="s">
        <v>114</v>
      </c>
      <c r="F21" s="21" t="s">
        <v>121</v>
      </c>
      <c r="G21" s="21" t="s">
        <v>127</v>
      </c>
      <c r="H21" s="25">
        <v>65480</v>
      </c>
      <c r="I21" s="21">
        <v>3400</v>
      </c>
      <c r="J21" s="21" t="str">
        <f>IF(productos[[#This Row],[stock]]&gt;=3000,"vender","reponer")</f>
        <v>vender</v>
      </c>
    </row>
    <row r="22" spans="4:10" x14ac:dyDescent="0.25">
      <c r="D22">
        <v>20</v>
      </c>
      <c r="E22" s="21" t="s">
        <v>150</v>
      </c>
      <c r="F22" s="21" t="s">
        <v>125</v>
      </c>
      <c r="G22" s="21" t="s">
        <v>158</v>
      </c>
      <c r="H22" s="25">
        <v>87500</v>
      </c>
      <c r="I22" s="21">
        <v>68</v>
      </c>
      <c r="J22" s="21" t="str">
        <f>IF(productos[[#This Row],[stock]]&gt;=3000,"vender","reponer")</f>
        <v>reponer</v>
      </c>
    </row>
    <row r="23" spans="4:10" x14ac:dyDescent="0.25">
      <c r="D23">
        <v>19</v>
      </c>
      <c r="E23" s="21" t="s">
        <v>165</v>
      </c>
      <c r="F23" s="21" t="s">
        <v>123</v>
      </c>
      <c r="G23" s="21" t="s">
        <v>174</v>
      </c>
      <c r="H23" s="25">
        <v>120569.99</v>
      </c>
      <c r="I23" s="21">
        <v>2347</v>
      </c>
      <c r="J23" s="21" t="str">
        <f>IF(productos[[#This Row],[stock]]&gt;=3000,"vender","reponer")</f>
        <v>reponer</v>
      </c>
    </row>
    <row r="24" spans="4:10" x14ac:dyDescent="0.25">
      <c r="D24">
        <v>18</v>
      </c>
      <c r="E24" s="21" t="s">
        <v>164</v>
      </c>
      <c r="F24" s="21" t="s">
        <v>123</v>
      </c>
      <c r="G24" s="21" t="s">
        <v>172</v>
      </c>
      <c r="H24" s="25">
        <v>45380</v>
      </c>
      <c r="I24" s="21">
        <v>2348</v>
      </c>
      <c r="J24" s="21" t="str">
        <f>IF(productos[[#This Row],[stock]]&gt;=3000,"vender","reponer")</f>
        <v>reponer</v>
      </c>
    </row>
    <row r="25" spans="4:10" x14ac:dyDescent="0.25">
      <c r="D25">
        <v>17</v>
      </c>
      <c r="E25" s="21" t="s">
        <v>163</v>
      </c>
      <c r="F25" s="21" t="s">
        <v>122</v>
      </c>
      <c r="G25" s="21" t="s">
        <v>173</v>
      </c>
      <c r="H25" s="25">
        <v>67800</v>
      </c>
      <c r="I25" s="21">
        <v>5849</v>
      </c>
      <c r="J25" s="21" t="str">
        <f>IF(productos[[#This Row],[stock]]&gt;=3000,"vender","reponer")</f>
        <v>vender</v>
      </c>
    </row>
    <row r="26" spans="4:10" x14ac:dyDescent="0.25">
      <c r="D26">
        <v>16</v>
      </c>
      <c r="E26" s="21" t="s">
        <v>116</v>
      </c>
      <c r="F26" s="21" t="s">
        <v>122</v>
      </c>
      <c r="G26" s="21" t="s">
        <v>128</v>
      </c>
      <c r="H26" s="25">
        <v>16384</v>
      </c>
      <c r="I26" s="21">
        <v>600</v>
      </c>
      <c r="J26" s="21" t="str">
        <f>IF(productos[[#This Row],[stock]]&gt;=3000,"vender","reponer")</f>
        <v>reponer</v>
      </c>
    </row>
    <row r="27" spans="4:10" x14ac:dyDescent="0.25">
      <c r="D27">
        <v>15</v>
      </c>
      <c r="E27" s="21" t="s">
        <v>147</v>
      </c>
      <c r="F27" s="21" t="s">
        <v>121</v>
      </c>
      <c r="G27" s="21" t="s">
        <v>128</v>
      </c>
      <c r="H27" s="25">
        <v>6700</v>
      </c>
      <c r="I27" s="21">
        <v>6500</v>
      </c>
      <c r="J27" s="21" t="str">
        <f>IF(productos[[#This Row],[stock]]&gt;=3000,"vender","reponer")</f>
        <v>vender</v>
      </c>
    </row>
    <row r="28" spans="4:10" x14ac:dyDescent="0.25">
      <c r="D28">
        <v>14</v>
      </c>
      <c r="E28" s="21" t="s">
        <v>162</v>
      </c>
      <c r="F28" s="21" t="s">
        <v>123</v>
      </c>
      <c r="G28" s="21" t="s">
        <v>172</v>
      </c>
      <c r="H28" s="25">
        <v>56270</v>
      </c>
      <c r="I28" s="21">
        <v>832</v>
      </c>
      <c r="J28" s="21" t="str">
        <f>IF(productos[[#This Row],[stock]]&gt;=3000,"vender","reponer")</f>
        <v>reponer</v>
      </c>
    </row>
    <row r="29" spans="4:10" x14ac:dyDescent="0.25">
      <c r="D29">
        <v>13</v>
      </c>
      <c r="E29" s="21" t="s">
        <v>161</v>
      </c>
      <c r="F29" s="21" t="s">
        <v>124</v>
      </c>
      <c r="G29" s="21" t="s">
        <v>171</v>
      </c>
      <c r="H29" s="25">
        <v>520920</v>
      </c>
      <c r="I29" s="21">
        <v>2938</v>
      </c>
      <c r="J29" s="21" t="str">
        <f>IF(productos[[#This Row],[stock]]&gt;=3000,"vender","reponer")</f>
        <v>reponer</v>
      </c>
    </row>
    <row r="30" spans="4:10" x14ac:dyDescent="0.25">
      <c r="D30">
        <v>12</v>
      </c>
      <c r="E30" s="21" t="s">
        <v>130</v>
      </c>
      <c r="F30" s="21" t="s">
        <v>124</v>
      </c>
      <c r="G30" s="21" t="s">
        <v>129</v>
      </c>
      <c r="H30" s="25">
        <v>1048576</v>
      </c>
      <c r="I30" s="21">
        <v>200</v>
      </c>
      <c r="J30" s="21" t="str">
        <f>IF(productos[[#This Row],[stock]]&gt;=3000,"vender","reponer")</f>
        <v>reponer</v>
      </c>
    </row>
    <row r="31" spans="4:10" x14ac:dyDescent="0.25">
      <c r="D31">
        <v>11</v>
      </c>
      <c r="E31" s="21" t="s">
        <v>140</v>
      </c>
      <c r="F31" s="21" t="s">
        <v>122</v>
      </c>
      <c r="G31" s="21" t="s">
        <v>146</v>
      </c>
      <c r="H31" s="25">
        <v>54780</v>
      </c>
      <c r="I31" s="21">
        <v>2894</v>
      </c>
      <c r="J31" s="21" t="str">
        <f>IF(productos[[#This Row],[stock]]&gt;=3000,"vender","reponer")</f>
        <v>reponer</v>
      </c>
    </row>
    <row r="32" spans="4:10" x14ac:dyDescent="0.25">
      <c r="D32">
        <v>10</v>
      </c>
      <c r="E32" s="21" t="s">
        <v>112</v>
      </c>
      <c r="F32" s="21" t="s">
        <v>121</v>
      </c>
      <c r="G32" s="21" t="s">
        <v>127</v>
      </c>
      <c r="H32" s="25">
        <v>5600</v>
      </c>
      <c r="I32" s="21">
        <v>1000</v>
      </c>
      <c r="J32" s="21" t="str">
        <f>IF(productos[[#This Row],[stock]]&gt;=3000,"vender","reponer")</f>
        <v>reponer</v>
      </c>
    </row>
    <row r="33" spans="4:10" x14ac:dyDescent="0.25">
      <c r="D33">
        <v>9</v>
      </c>
      <c r="E33" t="s">
        <v>139</v>
      </c>
      <c r="F33" t="s">
        <v>122</v>
      </c>
      <c r="G33" t="s">
        <v>145</v>
      </c>
      <c r="H33" s="23">
        <v>8200</v>
      </c>
      <c r="I33">
        <v>6000</v>
      </c>
      <c r="J33" t="str">
        <f>IF(productos[[#This Row],[stock]]&gt;=3000,"vender","reponer")</f>
        <v>vender</v>
      </c>
    </row>
    <row r="34" spans="4:10" x14ac:dyDescent="0.25">
      <c r="D34">
        <v>8</v>
      </c>
      <c r="E34" t="s">
        <v>138</v>
      </c>
      <c r="F34" t="s">
        <v>122</v>
      </c>
      <c r="G34" t="s">
        <v>127</v>
      </c>
      <c r="H34" s="23">
        <v>43560</v>
      </c>
      <c r="I34">
        <v>2500</v>
      </c>
      <c r="J34" t="str">
        <f>IF(productos[[#This Row],[stock]]&gt;=3000,"vender","reponer")</f>
        <v>reponer</v>
      </c>
    </row>
    <row r="35" spans="4:10" x14ac:dyDescent="0.25">
      <c r="D35">
        <v>7</v>
      </c>
      <c r="E35" t="s">
        <v>136</v>
      </c>
      <c r="F35" t="s">
        <v>124</v>
      </c>
      <c r="G35" t="s">
        <v>144</v>
      </c>
      <c r="H35" s="27">
        <v>250328</v>
      </c>
      <c r="I35">
        <v>200</v>
      </c>
      <c r="J35" t="str">
        <f>IF(productos[[#This Row],[stock]]&gt;=3000,"vender","reponer")</f>
        <v>reponer</v>
      </c>
    </row>
    <row r="36" spans="4:10" x14ac:dyDescent="0.25">
      <c r="D36">
        <v>6</v>
      </c>
      <c r="E36" t="s">
        <v>135</v>
      </c>
      <c r="F36" t="s">
        <v>124</v>
      </c>
      <c r="G36" t="s">
        <v>144</v>
      </c>
      <c r="H36" s="27">
        <v>42000</v>
      </c>
      <c r="I36">
        <v>50</v>
      </c>
      <c r="J36" t="str">
        <f>IF(productos[[#This Row],[stock]]&gt;=3000,"vender","reponer")</f>
        <v>reponer</v>
      </c>
    </row>
    <row r="37" spans="4:10" x14ac:dyDescent="0.25">
      <c r="D37">
        <v>5</v>
      </c>
      <c r="E37" t="s">
        <v>137</v>
      </c>
      <c r="F37" t="s">
        <v>124</v>
      </c>
      <c r="G37" t="s">
        <v>143</v>
      </c>
      <c r="H37" s="27">
        <v>54600</v>
      </c>
      <c r="I37">
        <v>100</v>
      </c>
      <c r="J37" t="str">
        <f>IF(productos[[#This Row],[stock]]&gt;=3000,"vender","reponer")</f>
        <v>reponer</v>
      </c>
    </row>
    <row r="38" spans="4:10" x14ac:dyDescent="0.25">
      <c r="D38">
        <v>4</v>
      </c>
      <c r="E38" t="s">
        <v>134</v>
      </c>
      <c r="F38" t="s">
        <v>123</v>
      </c>
      <c r="G38" t="s">
        <v>142</v>
      </c>
      <c r="H38" s="27">
        <v>25600</v>
      </c>
      <c r="I38">
        <v>2500</v>
      </c>
      <c r="J38" t="str">
        <f>IF(productos[[#This Row],[stock]]&gt;=3000,"vender","reponer")</f>
        <v>reponer</v>
      </c>
    </row>
    <row r="39" spans="4:10" x14ac:dyDescent="0.25">
      <c r="D39">
        <v>3</v>
      </c>
      <c r="E39" t="s">
        <v>133</v>
      </c>
      <c r="F39" t="s">
        <v>123</v>
      </c>
      <c r="G39" t="s">
        <v>129</v>
      </c>
      <c r="H39" s="27">
        <v>25780</v>
      </c>
      <c r="I39">
        <v>1500</v>
      </c>
      <c r="J39" t="str">
        <f>IF(productos[[#This Row],[stock]]&gt;=3000,"vender","reponer")</f>
        <v>reponer</v>
      </c>
    </row>
    <row r="40" spans="4:10" x14ac:dyDescent="0.25">
      <c r="D40">
        <v>2</v>
      </c>
      <c r="E40" t="s">
        <v>132</v>
      </c>
      <c r="F40" t="s">
        <v>121</v>
      </c>
      <c r="G40" t="s">
        <v>141</v>
      </c>
      <c r="H40" s="27">
        <v>56700</v>
      </c>
      <c r="I40">
        <v>3500</v>
      </c>
      <c r="J40" t="str">
        <f>IF(productos[[#This Row],[stock]]&gt;=3000,"vender","reponer")</f>
        <v>vender</v>
      </c>
    </row>
    <row r="41" spans="4:10" x14ac:dyDescent="0.25">
      <c r="D41">
        <v>1</v>
      </c>
      <c r="E41" t="s">
        <v>131</v>
      </c>
      <c r="F41" t="s">
        <v>121</v>
      </c>
      <c r="G41" t="s">
        <v>141</v>
      </c>
      <c r="H41" s="27">
        <v>150548</v>
      </c>
      <c r="I41">
        <v>2000</v>
      </c>
      <c r="J41" t="str">
        <f>IF(productos[[#This Row],[stock]]&gt;=3000,"vender","reponer")</f>
        <v>reponer</v>
      </c>
    </row>
  </sheetData>
  <mergeCells count="1">
    <mergeCell ref="A1:B1"/>
  </mergeCells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{F7BEEC0C-EAA3-4C97-81A6-C96808968D98}</x14:id>
        </ext>
      </extLst>
    </cfRule>
  </conditionalFormatting>
  <conditionalFormatting sqref="I1:I1048576">
    <cfRule type="iconSet" priority="2">
      <iconSet iconSet="3Symbols2">
        <cfvo type="percent" val="0"/>
        <cfvo type="num" val="1000"/>
        <cfvo type="num" val="3000"/>
      </iconSet>
    </cfRule>
  </conditionalFormatting>
  <conditionalFormatting sqref="J1:J1048576">
    <cfRule type="containsText" dxfId="5" priority="1" operator="containsText" text="reponer">
      <formula>NOT(ISERROR(SEARCH("reponer",J1)))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BEEC0C-EAA3-4C97-81A6-C96808968D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3380-975D-48C5-88E7-EB8DA010B416}">
  <dimension ref="A1:K22"/>
  <sheetViews>
    <sheetView zoomScale="130" zoomScaleNormal="130" workbookViewId="0">
      <pane xSplit="2" ySplit="3" topLeftCell="C18" activePane="bottomRight" state="frozen"/>
      <selection pane="topRight" activeCell="C1" sqref="C1"/>
      <selection pane="bottomLeft" activeCell="A4" sqref="A4"/>
      <selection pane="bottomRight" activeCell="A12" sqref="A12:B22"/>
    </sheetView>
  </sheetViews>
  <sheetFormatPr baseColWidth="10" defaultRowHeight="15" x14ac:dyDescent="0.25"/>
  <cols>
    <col min="1" max="1" width="11" customWidth="1"/>
    <col min="2" max="2" width="15.42578125" bestFit="1" customWidth="1"/>
    <col min="3" max="3" width="2.5703125" customWidth="1"/>
    <col min="4" max="4" width="5.42578125" bestFit="1" customWidth="1"/>
    <col min="5" max="5" width="6.85546875" customWidth="1"/>
    <col min="6" max="6" width="6.140625" customWidth="1"/>
    <col min="7" max="7" width="6.7109375" customWidth="1"/>
    <col min="8" max="9" width="15.42578125" bestFit="1" customWidth="1"/>
    <col min="10" max="10" width="13.7109375" bestFit="1" customWidth="1"/>
    <col min="11" max="11" width="15.42578125" bestFit="1" customWidth="1"/>
  </cols>
  <sheetData>
    <row r="1" spans="1:11" ht="28.5" customHeight="1" x14ac:dyDescent="0.25">
      <c r="A1" s="45" t="s">
        <v>107</v>
      </c>
      <c r="B1" s="45"/>
      <c r="C1" s="22"/>
      <c r="D1" t="s">
        <v>56</v>
      </c>
      <c r="E1" s="10" t="s">
        <v>43</v>
      </c>
      <c r="F1" s="10" t="s">
        <v>0</v>
      </c>
      <c r="G1" s="10" t="s">
        <v>41</v>
      </c>
      <c r="H1" s="10" t="s">
        <v>44</v>
      </c>
      <c r="I1" s="10" t="s">
        <v>42</v>
      </c>
      <c r="J1" s="10" t="s">
        <v>46</v>
      </c>
      <c r="K1" s="10" t="s">
        <v>54</v>
      </c>
    </row>
    <row r="2" spans="1:11" x14ac:dyDescent="0.25">
      <c r="A2" s="30" t="s">
        <v>45</v>
      </c>
      <c r="B2" s="31">
        <v>0.21</v>
      </c>
      <c r="D2">
        <v>1</v>
      </c>
      <c r="E2" s="7">
        <v>10</v>
      </c>
      <c r="F2" s="7">
        <v>1</v>
      </c>
      <c r="G2" s="7">
        <v>2</v>
      </c>
      <c r="H2" s="8">
        <v>5600</v>
      </c>
      <c r="I2" s="9">
        <f>ventas[[#This Row],[cantidad]]*ventas[[#This Row],[precio]]</f>
        <v>11200</v>
      </c>
      <c r="J2" s="9">
        <f>ventas[[#This Row],[total]]*IVA</f>
        <v>2352</v>
      </c>
      <c r="K2" s="9">
        <f>ventas[[#This Row],[total]]+ventas[[#This Row],[valor iva]]</f>
        <v>13552</v>
      </c>
    </row>
    <row r="3" spans="1:11" x14ac:dyDescent="0.25">
      <c r="A3" s="32" t="s">
        <v>42</v>
      </c>
      <c r="B3" s="33">
        <f>SUM(ventas[total])</f>
        <v>4778839.9399999995</v>
      </c>
      <c r="D3">
        <v>2</v>
      </c>
      <c r="E3" s="7">
        <v>30</v>
      </c>
      <c r="F3" s="7">
        <v>2</v>
      </c>
      <c r="G3" s="7">
        <v>3</v>
      </c>
      <c r="H3" s="8">
        <v>25399.99</v>
      </c>
      <c r="I3" s="9">
        <f>ventas[[#This Row],[cantidad]]*ventas[[#This Row],[precio]]</f>
        <v>76199.97</v>
      </c>
      <c r="J3" s="9">
        <f>ventas[[#This Row],[total]]*IVA</f>
        <v>16001.993699999999</v>
      </c>
      <c r="K3" s="9">
        <f>ventas[[#This Row],[total]]+ventas[[#This Row],[valor iva]]</f>
        <v>92201.963699999993</v>
      </c>
    </row>
    <row r="4" spans="1:11" x14ac:dyDescent="0.25">
      <c r="A4" s="30" t="s">
        <v>55</v>
      </c>
      <c r="B4" s="34">
        <f>COUNT(ventas[codigo])</f>
        <v>15</v>
      </c>
      <c r="D4">
        <v>3</v>
      </c>
      <c r="E4" s="7">
        <v>20</v>
      </c>
      <c r="F4" s="7">
        <v>5</v>
      </c>
      <c r="G4" s="7">
        <v>5</v>
      </c>
      <c r="H4" s="8">
        <v>65480</v>
      </c>
      <c r="I4" s="9">
        <f>ventas[[#This Row],[cantidad]]*ventas[[#This Row],[precio]]</f>
        <v>327400</v>
      </c>
      <c r="J4" s="9">
        <f>ventas[[#This Row],[total]]*IVA</f>
        <v>68754</v>
      </c>
      <c r="K4" s="9">
        <f>ventas[[#This Row],[total]]+ventas[[#This Row],[valor iva]]</f>
        <v>396154</v>
      </c>
    </row>
    <row r="5" spans="1:11" x14ac:dyDescent="0.25">
      <c r="A5" s="32" t="s">
        <v>59</v>
      </c>
      <c r="B5" s="35">
        <f>MAX(ventas[cantidad])</f>
        <v>34</v>
      </c>
      <c r="D5">
        <v>4</v>
      </c>
      <c r="E5" s="7">
        <v>10</v>
      </c>
      <c r="F5" s="7">
        <v>3</v>
      </c>
      <c r="G5" s="7">
        <v>7</v>
      </c>
      <c r="H5" s="8">
        <v>5600</v>
      </c>
      <c r="I5" s="9">
        <f>ventas[[#This Row],[cantidad]]*ventas[[#This Row],[precio]]</f>
        <v>39200</v>
      </c>
      <c r="J5" s="9">
        <f>ventas[[#This Row],[total]]*IVA</f>
        <v>8232</v>
      </c>
      <c r="K5" s="9">
        <f>ventas[[#This Row],[total]]+ventas[[#This Row],[valor iva]]</f>
        <v>47432</v>
      </c>
    </row>
    <row r="6" spans="1:11" x14ac:dyDescent="0.25">
      <c r="A6" s="30" t="s">
        <v>60</v>
      </c>
      <c r="B6" s="34">
        <f>MODE(ventas[codigo])</f>
        <v>10</v>
      </c>
      <c r="D6">
        <v>5</v>
      </c>
      <c r="E6" s="7">
        <v>10</v>
      </c>
      <c r="F6" s="7">
        <v>5</v>
      </c>
      <c r="G6" s="7">
        <v>34</v>
      </c>
      <c r="H6" s="8">
        <v>5600</v>
      </c>
      <c r="I6" s="9">
        <f>ventas[[#This Row],[cantidad]]*ventas[[#This Row],[precio]]</f>
        <v>190400</v>
      </c>
      <c r="J6" s="9">
        <f>ventas[[#This Row],[total]]*IVA</f>
        <v>39984</v>
      </c>
      <c r="K6" s="9">
        <f>ventas[[#This Row],[total]]+ventas[[#This Row],[valor iva]]</f>
        <v>230384</v>
      </c>
    </row>
    <row r="7" spans="1:11" x14ac:dyDescent="0.25">
      <c r="A7" s="32" t="s">
        <v>58</v>
      </c>
      <c r="B7" s="36">
        <f>MAX(ventas[total])</f>
        <v>2097152</v>
      </c>
      <c r="D7">
        <v>6</v>
      </c>
      <c r="E7" s="7">
        <v>20</v>
      </c>
      <c r="F7" s="7">
        <v>3</v>
      </c>
      <c r="G7" s="7">
        <v>12</v>
      </c>
      <c r="H7" s="8">
        <v>65480</v>
      </c>
      <c r="I7" s="9">
        <f>ventas[[#This Row],[cantidad]]*ventas[[#This Row],[precio]]</f>
        <v>785760</v>
      </c>
      <c r="J7" s="9">
        <f>ventas[[#This Row],[total]]*IVA</f>
        <v>165009.60000000001</v>
      </c>
      <c r="K7" s="9">
        <f>ventas[[#This Row],[total]]+ventas[[#This Row],[valor iva]]</f>
        <v>950769.6</v>
      </c>
    </row>
    <row r="8" spans="1:11" x14ac:dyDescent="0.25">
      <c r="A8" s="30" t="s">
        <v>57</v>
      </c>
      <c r="B8" s="37">
        <f>MIN(ventas[total])</f>
        <v>8192</v>
      </c>
      <c r="D8">
        <v>7</v>
      </c>
      <c r="E8" s="7">
        <v>26</v>
      </c>
      <c r="F8" s="7">
        <v>4</v>
      </c>
      <c r="G8" s="7">
        <v>4</v>
      </c>
      <c r="H8" s="8">
        <v>4096</v>
      </c>
      <c r="I8" s="9">
        <f>ventas[[#This Row],[cantidad]]*ventas[[#This Row],[precio]]</f>
        <v>16384</v>
      </c>
      <c r="J8" s="9">
        <f>ventas[[#This Row],[total]]*IVA</f>
        <v>3440.64</v>
      </c>
      <c r="K8" s="9">
        <f>ventas[[#This Row],[total]]+ventas[[#This Row],[valor iva]]</f>
        <v>19824.64</v>
      </c>
    </row>
    <row r="9" spans="1:11" x14ac:dyDescent="0.25">
      <c r="A9" s="32" t="s">
        <v>39</v>
      </c>
      <c r="B9" s="36">
        <f>AVERAGE(ventas[total])</f>
        <v>318589.3293333333</v>
      </c>
      <c r="D9">
        <v>8</v>
      </c>
      <c r="E9" s="7">
        <v>40</v>
      </c>
      <c r="F9" s="7">
        <v>1</v>
      </c>
      <c r="G9" s="7">
        <v>8</v>
      </c>
      <c r="H9" s="8">
        <v>32768</v>
      </c>
      <c r="I9" s="9">
        <f>ventas[[#This Row],[cantidad]]*ventas[[#This Row],[precio]]</f>
        <v>262144</v>
      </c>
      <c r="J9" s="9">
        <f>ventas[[#This Row],[total]]*IVA</f>
        <v>55050.239999999998</v>
      </c>
      <c r="K9" s="9">
        <f>ventas[[#This Row],[total]]+ventas[[#This Row],[valor iva]]</f>
        <v>317194.23999999999</v>
      </c>
    </row>
    <row r="10" spans="1:11" x14ac:dyDescent="0.25">
      <c r="A10" s="19" t="s">
        <v>40</v>
      </c>
      <c r="B10" s="38">
        <f>MEDIAN(ventas[total])</f>
        <v>81920</v>
      </c>
      <c r="D10">
        <v>9</v>
      </c>
      <c r="E10" s="7">
        <v>12</v>
      </c>
      <c r="F10" s="7">
        <v>2</v>
      </c>
      <c r="G10" s="7">
        <v>2</v>
      </c>
      <c r="H10" s="8">
        <v>1048576</v>
      </c>
      <c r="I10" s="9">
        <f>ventas[[#This Row],[cantidad]]*ventas[[#This Row],[precio]]</f>
        <v>2097152</v>
      </c>
      <c r="J10" s="9">
        <f>ventas[[#This Row],[total]]*IVA</f>
        <v>440401.91999999998</v>
      </c>
      <c r="K10" s="9">
        <f>ventas[[#This Row],[total]]+ventas[[#This Row],[valor iva]]</f>
        <v>2537553.9199999999</v>
      </c>
    </row>
    <row r="11" spans="1:11" x14ac:dyDescent="0.25">
      <c r="D11">
        <v>10</v>
      </c>
      <c r="E11" s="7">
        <v>15</v>
      </c>
      <c r="F11" s="7">
        <v>3</v>
      </c>
      <c r="G11" s="7">
        <v>5</v>
      </c>
      <c r="H11" s="8">
        <v>16384</v>
      </c>
      <c r="I11" s="9">
        <f>ventas[[#This Row],[cantidad]]*ventas[[#This Row],[precio]]</f>
        <v>81920</v>
      </c>
      <c r="J11" s="9">
        <f>ventas[[#This Row],[total]]*IVA</f>
        <v>17203.2</v>
      </c>
      <c r="K11" s="9">
        <f>ventas[[#This Row],[total]]+ventas[[#This Row],[valor iva]]</f>
        <v>99123.199999999997</v>
      </c>
    </row>
    <row r="12" spans="1:11" x14ac:dyDescent="0.25">
      <c r="A12" s="7" t="s">
        <v>192</v>
      </c>
      <c r="B12" s="21" t="s">
        <v>193</v>
      </c>
      <c r="D12">
        <v>11</v>
      </c>
      <c r="E12" s="7">
        <v>25</v>
      </c>
      <c r="F12" s="7">
        <v>5</v>
      </c>
      <c r="G12" s="7">
        <v>1</v>
      </c>
      <c r="H12" s="8">
        <v>8192</v>
      </c>
      <c r="I12" s="9">
        <f>ventas[[#This Row],[cantidad]]*ventas[[#This Row],[precio]]</f>
        <v>8192</v>
      </c>
      <c r="J12" s="9">
        <f>ventas[[#This Row],[total]]*IVA</f>
        <v>1720.32</v>
      </c>
      <c r="K12" s="9">
        <f>ventas[[#This Row],[total]]+ventas[[#This Row],[valor iva]]</f>
        <v>9912.32</v>
      </c>
    </row>
    <row r="13" spans="1:11" x14ac:dyDescent="0.25">
      <c r="A13" s="46" t="s">
        <v>182</v>
      </c>
      <c r="B13" s="33">
        <v>2786499</v>
      </c>
      <c r="D13">
        <v>12</v>
      </c>
      <c r="E13" s="7">
        <v>30</v>
      </c>
      <c r="F13" s="7">
        <v>6</v>
      </c>
      <c r="G13" s="7">
        <v>3</v>
      </c>
      <c r="H13" s="8">
        <v>25399.99</v>
      </c>
      <c r="I13" s="9">
        <f>ventas[[#This Row],[cantidad]]*ventas[[#This Row],[precio]]</f>
        <v>76199.97</v>
      </c>
      <c r="J13" s="9">
        <f>ventas[[#This Row],[total]]*IVA</f>
        <v>16001.993699999999</v>
      </c>
      <c r="K13" s="9">
        <f>ventas[[#This Row],[total]]+ventas[[#This Row],[valor iva]]</f>
        <v>92201.963699999993</v>
      </c>
    </row>
    <row r="14" spans="1:11" x14ac:dyDescent="0.25">
      <c r="A14" t="s">
        <v>183</v>
      </c>
      <c r="B14" s="33">
        <v>5923800</v>
      </c>
      <c r="D14">
        <v>13</v>
      </c>
      <c r="E14" s="7">
        <v>33</v>
      </c>
      <c r="F14" s="7">
        <v>3</v>
      </c>
      <c r="G14" s="7">
        <v>8</v>
      </c>
      <c r="H14" s="8">
        <v>65536</v>
      </c>
      <c r="I14" s="9">
        <f>ventas[[#This Row],[cantidad]]*ventas[[#This Row],[precio]]</f>
        <v>524288</v>
      </c>
      <c r="J14" s="9">
        <f>ventas[[#This Row],[total]]*IVA</f>
        <v>110100.48</v>
      </c>
      <c r="K14" s="9">
        <f>ventas[[#This Row],[total]]+ventas[[#This Row],[valor iva]]</f>
        <v>634388.47999999998</v>
      </c>
    </row>
    <row r="15" spans="1:11" x14ac:dyDescent="0.25">
      <c r="A15" s="46" t="s">
        <v>184</v>
      </c>
      <c r="B15" s="33">
        <v>3486000</v>
      </c>
      <c r="D15">
        <v>14</v>
      </c>
      <c r="E15" s="11">
        <v>20</v>
      </c>
      <c r="F15" s="11">
        <v>4</v>
      </c>
      <c r="G15" s="11">
        <v>4</v>
      </c>
      <c r="H15" s="12">
        <v>65480</v>
      </c>
      <c r="I15" s="13">
        <f>ventas[[#This Row],[cantidad]]*ventas[[#This Row],[precio]]</f>
        <v>261920</v>
      </c>
      <c r="J15" s="13">
        <f>ventas[[#This Row],[total]]*IVA</f>
        <v>55003.199999999997</v>
      </c>
      <c r="K15" s="13">
        <f>ventas[[#This Row],[total]]+ventas[[#This Row],[valor iva]]</f>
        <v>316923.2</v>
      </c>
    </row>
    <row r="16" spans="1:11" x14ac:dyDescent="0.25">
      <c r="A16" t="s">
        <v>185</v>
      </c>
      <c r="B16" s="33">
        <v>567299</v>
      </c>
      <c r="D16" s="11">
        <v>15</v>
      </c>
      <c r="E16" s="11">
        <v>26</v>
      </c>
      <c r="F16" s="11">
        <v>2</v>
      </c>
      <c r="G16" s="11">
        <v>5</v>
      </c>
      <c r="H16" s="12">
        <v>4096</v>
      </c>
      <c r="I16" s="13">
        <f>ventas[[#This Row],[cantidad]]*ventas[[#This Row],[precio]]</f>
        <v>20480</v>
      </c>
      <c r="J16" s="13">
        <f>ventas[[#This Row],[total]]*IVA</f>
        <v>4300.8</v>
      </c>
      <c r="K16" s="13">
        <f>ventas[[#This Row],[total]]+ventas[[#This Row],[valor iva]]</f>
        <v>24780.799999999999</v>
      </c>
    </row>
    <row r="17" spans="1:2" x14ac:dyDescent="0.25">
      <c r="A17" s="46" t="s">
        <v>186</v>
      </c>
      <c r="B17" s="33">
        <v>1200576</v>
      </c>
    </row>
    <row r="18" spans="1:2" x14ac:dyDescent="0.25">
      <c r="A18" t="s">
        <v>187</v>
      </c>
      <c r="B18" s="33">
        <v>2868600</v>
      </c>
    </row>
    <row r="19" spans="1:2" x14ac:dyDescent="0.25">
      <c r="A19" s="46" t="s">
        <v>188</v>
      </c>
      <c r="B19" s="33">
        <v>8725320</v>
      </c>
    </row>
    <row r="20" spans="1:2" x14ac:dyDescent="0.25">
      <c r="A20" t="s">
        <v>189</v>
      </c>
      <c r="B20" s="33">
        <v>548100</v>
      </c>
    </row>
    <row r="21" spans="1:2" x14ac:dyDescent="0.25">
      <c r="A21" s="46" t="s">
        <v>190</v>
      </c>
      <c r="B21" s="33">
        <v>3756980</v>
      </c>
    </row>
    <row r="22" spans="1:2" x14ac:dyDescent="0.25">
      <c r="A22" t="s">
        <v>191</v>
      </c>
      <c r="B22" s="33">
        <f>SUM(ventas[total])</f>
        <v>4778839.9399999995</v>
      </c>
    </row>
  </sheetData>
  <mergeCells count="1">
    <mergeCell ref="A1:B1"/>
  </mergeCells>
  <phoneticPr fontId="2" type="noConversion"/>
  <conditionalFormatting sqref="K1:K1048576">
    <cfRule type="cellIs" dxfId="4" priority="1" operator="lessThan">
      <formula>50000</formula>
    </cfRule>
    <cfRule type="cellIs" dxfId="3" priority="2" operator="greaterThanOrEqual">
      <formula>100000</formula>
    </cfRule>
    <cfRule type="cellIs" dxfId="2" priority="3" operator="between">
      <formula>50000</formula>
      <formula>100000</formula>
    </cfRule>
  </conditionalFormatting>
  <hyperlinks>
    <hyperlink ref="A1:B1" location="menu!A1" display="volver al inicio" xr:uid="{C5D741B1-7E52-474E-9126-D9E1C4C8B51B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46FC-82A8-41CA-871F-23683B80785F}">
  <dimension ref="A1:R10"/>
  <sheetViews>
    <sheetView topLeftCell="K1" zoomScale="145" zoomScaleNormal="145" workbookViewId="0">
      <selection activeCell="Q2" sqref="Q2"/>
    </sheetView>
  </sheetViews>
  <sheetFormatPr baseColWidth="10" defaultRowHeight="15" x14ac:dyDescent="0.25"/>
  <cols>
    <col min="1" max="2" width="10.7109375" customWidth="1"/>
    <col min="3" max="3" width="5" customWidth="1"/>
    <col min="4" max="4" width="5.7109375" customWidth="1"/>
    <col min="5" max="5" width="22.140625" hidden="1" customWidth="1"/>
    <col min="6" max="6" width="12.7109375" bestFit="1" customWidth="1"/>
    <col min="7" max="7" width="14.85546875" bestFit="1" customWidth="1"/>
    <col min="8" max="8" width="14" hidden="1" customWidth="1"/>
    <col min="9" max="9" width="9.42578125" hidden="1" customWidth="1"/>
    <col min="10" max="10" width="15" bestFit="1" customWidth="1"/>
    <col min="11" max="11" width="5.85546875" customWidth="1"/>
    <col min="12" max="12" width="5.140625" style="15" customWidth="1"/>
    <col min="13" max="13" width="14" style="16" customWidth="1"/>
    <col min="14" max="14" width="14" hidden="1" customWidth="1"/>
    <col min="15" max="15" width="9.5703125" customWidth="1"/>
    <col min="16" max="16" width="4.5703125" hidden="1" customWidth="1"/>
    <col min="17" max="17" width="9.42578125" bestFit="1" customWidth="1"/>
    <col min="18" max="18" width="14.85546875" style="6" bestFit="1" customWidth="1"/>
    <col min="20" max="20" width="11.140625" bestFit="1" customWidth="1"/>
  </cols>
  <sheetData>
    <row r="1" spans="1:18" ht="21" customHeight="1" x14ac:dyDescent="0.25">
      <c r="A1" s="45" t="s">
        <v>107</v>
      </c>
      <c r="B1" s="45"/>
      <c r="C1" s="22"/>
      <c r="D1" t="s">
        <v>180</v>
      </c>
      <c r="E1" t="s">
        <v>0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s="15" t="s">
        <v>84</v>
      </c>
      <c r="L1" s="16" t="s">
        <v>93</v>
      </c>
      <c r="M1" t="s">
        <v>61</v>
      </c>
      <c r="N1" t="s">
        <v>64</v>
      </c>
      <c r="O1" t="s">
        <v>63</v>
      </c>
      <c r="P1" t="s">
        <v>65</v>
      </c>
      <c r="Q1" t="s">
        <v>97</v>
      </c>
      <c r="R1" s="6" t="s">
        <v>181</v>
      </c>
    </row>
    <row r="2" spans="1:18" x14ac:dyDescent="0.25">
      <c r="A2" s="30" t="s">
        <v>72</v>
      </c>
      <c r="B2" s="34" t="s">
        <v>73</v>
      </c>
      <c r="D2">
        <v>1</v>
      </c>
      <c r="E2" t="str">
        <f>presentismo[[#This Row],[Empleado]]</f>
        <v>Cristian Damian,Racedo</v>
      </c>
      <c r="F2" t="str">
        <f>TRIM(RIGHT(datos[[#This Row],[Empleado]],datos[[#This Row],[LARGO]] - (datos[[#This Row],[SEPARADOR]] )))</f>
        <v>Racedo</v>
      </c>
      <c r="G2" t="str">
        <f>TRIM(LEFT(datos[[#This Row],[Empleado]],datos[[#This Row],[SEPARADOR]] - 1))</f>
        <v>Cristian Damian</v>
      </c>
      <c r="H2">
        <f>FIND(char,datos[[#This Row],[Empleado]])</f>
        <v>16</v>
      </c>
      <c r="I2">
        <f>LEN(datos[[#This Row],[Empleado]])</f>
        <v>22</v>
      </c>
      <c r="J2" s="14">
        <v>33346</v>
      </c>
      <c r="K2" s="15">
        <f ca="1">(hoy - datos[[#This Row],[NACIMIENTO]]) / 365</f>
        <v>31.564383561643837</v>
      </c>
      <c r="L2" s="16">
        <f ca="1">año - YEAR(datos[[#This Row],[NACIMIENTO]])</f>
        <v>31</v>
      </c>
      <c r="M2" t="s">
        <v>62</v>
      </c>
      <c r="N2" t="str">
        <f>LEFT(datos[[#This Row],[CUIL]],2)</f>
        <v>20</v>
      </c>
      <c r="O2" t="str">
        <f>MID(datos[[#This Row],[CUIL]],4,8)</f>
        <v>35336446</v>
      </c>
      <c r="P2" t="str">
        <f>RIGHT(datos[[#This Row],[CUIL]],1)</f>
        <v>5</v>
      </c>
      <c r="Q2" s="4">
        <f>COUNTIF(ventas[Empleado],datos[[#This Row],[Cod]])</f>
        <v>2</v>
      </c>
      <c r="R2" s="6">
        <f>SUMIF(ventas[Empleado],datos[[#This Row],[Cod]],ventas[total])</f>
        <v>273344</v>
      </c>
    </row>
    <row r="3" spans="1:18" x14ac:dyDescent="0.25">
      <c r="A3" s="32" t="s">
        <v>85</v>
      </c>
      <c r="B3" s="39">
        <f ca="1">TODAY()</f>
        <v>44867</v>
      </c>
      <c r="D3">
        <v>2</v>
      </c>
      <c r="E3" t="str">
        <f>presentismo[[#This Row],[Empleado]]</f>
        <v>Martinez, Mariano</v>
      </c>
      <c r="F3" t="str">
        <f>TRIM(RIGHT(datos[[#This Row],[Empleado]],datos[[#This Row],[LARGO]] - (datos[[#This Row],[SEPARADOR]] )))</f>
        <v>Mariano</v>
      </c>
      <c r="G3" t="str">
        <f>TRIM(LEFT(datos[[#This Row],[Empleado]],datos[[#This Row],[SEPARADOR]] - 1))</f>
        <v>Martinez</v>
      </c>
      <c r="H3">
        <f>FIND(char,datos[[#This Row],[Empleado]])</f>
        <v>9</v>
      </c>
      <c r="I3">
        <f>LEN(datos[[#This Row],[Empleado]])</f>
        <v>17</v>
      </c>
      <c r="J3" s="14">
        <v>31710</v>
      </c>
      <c r="K3" s="15">
        <f ca="1">(hoy - datos[[#This Row],[NACIMIENTO]]) / 365</f>
        <v>36.046575342465751</v>
      </c>
      <c r="L3" s="16">
        <f ca="1">año - YEAR(datos[[#This Row],[NACIMIENTO]])</f>
        <v>36</v>
      </c>
      <c r="M3" t="s">
        <v>71</v>
      </c>
      <c r="N3" t="str">
        <f>LEFT(datos[[#This Row],[CUIL]],2)</f>
        <v>20</v>
      </c>
      <c r="O3" t="str">
        <f>MID(datos[[#This Row],[CUIL]],4,8)</f>
        <v>24717271</v>
      </c>
      <c r="P3" t="str">
        <f>RIGHT(datos[[#This Row],[CUIL]],1)</f>
        <v>9</v>
      </c>
      <c r="Q3" s="4">
        <f>COUNTIF(ventas[Empleado],datos[[#This Row],[Cod]])</f>
        <v>3</v>
      </c>
      <c r="R3" s="6">
        <f>SUMIF(ventas[Empleado],datos[[#This Row],[Cod]],ventas[total])</f>
        <v>2193831.9700000002</v>
      </c>
    </row>
    <row r="4" spans="1:18" x14ac:dyDescent="0.25">
      <c r="A4" s="30" t="s">
        <v>86</v>
      </c>
      <c r="B4" s="34">
        <f ca="1">DAY(B3)</f>
        <v>2</v>
      </c>
      <c r="D4">
        <v>3</v>
      </c>
      <c r="E4" t="str">
        <f>presentismo[[#This Row],[Empleado]]</f>
        <v>Belen,    Tambella</v>
      </c>
      <c r="F4" t="str">
        <f>TRIM(RIGHT(datos[[#This Row],[Empleado]],datos[[#This Row],[LARGO]] - (datos[[#This Row],[SEPARADOR]] )))</f>
        <v>Tambella</v>
      </c>
      <c r="G4" t="str">
        <f>TRIM(LEFT(datos[[#This Row],[Empleado]],datos[[#This Row],[SEPARADOR]] - 1))</f>
        <v>Belen</v>
      </c>
      <c r="H4">
        <f>FIND(char,datos[[#This Row],[Empleado]])</f>
        <v>6</v>
      </c>
      <c r="I4">
        <f>LEN(datos[[#This Row],[Empleado]])</f>
        <v>18</v>
      </c>
      <c r="J4" s="14">
        <v>33674</v>
      </c>
      <c r="K4" s="15">
        <f ca="1">(hoy - datos[[#This Row],[NACIMIENTO]]) / 365</f>
        <v>30.665753424657535</v>
      </c>
      <c r="L4" s="16">
        <f ca="1">año - YEAR(datos[[#This Row],[NACIMIENTO]])</f>
        <v>30</v>
      </c>
      <c r="M4" t="s">
        <v>66</v>
      </c>
      <c r="N4" t="str">
        <f>LEFT(datos[[#This Row],[CUIL]],2)</f>
        <v>27</v>
      </c>
      <c r="O4" t="str">
        <f>MID(datos[[#This Row],[CUIL]],4,8)</f>
        <v>36806507</v>
      </c>
      <c r="P4" t="str">
        <f>RIGHT(datos[[#This Row],[CUIL]],1)</f>
        <v>1</v>
      </c>
      <c r="Q4" s="4">
        <f>COUNTIF(ventas[Empleado],datos[[#This Row],[Cod]])</f>
        <v>4</v>
      </c>
      <c r="R4" s="6">
        <f>SUMIF(ventas[Empleado],datos[[#This Row],[Cod]],ventas[total])</f>
        <v>1431168</v>
      </c>
    </row>
    <row r="5" spans="1:18" x14ac:dyDescent="0.25">
      <c r="A5" s="32" t="s">
        <v>87</v>
      </c>
      <c r="B5" s="35">
        <f ca="1">MONTH(B3)</f>
        <v>11</v>
      </c>
      <c r="D5">
        <v>4</v>
      </c>
      <c r="E5" t="str">
        <f>presentismo[[#This Row],[Empleado]]</f>
        <v>Francisca, Casas</v>
      </c>
      <c r="F5" t="str">
        <f>TRIM(RIGHT(datos[[#This Row],[Empleado]],datos[[#This Row],[LARGO]] - (datos[[#This Row],[SEPARADOR]] )))</f>
        <v>Casas</v>
      </c>
      <c r="G5" t="str">
        <f>TRIM(LEFT(datos[[#This Row],[Empleado]],datos[[#This Row],[SEPARADOR]] - 1))</f>
        <v>Francisca</v>
      </c>
      <c r="H5">
        <f>FIND(char,datos[[#This Row],[Empleado]])</f>
        <v>10</v>
      </c>
      <c r="I5">
        <f>LEN(datos[[#This Row],[Empleado]])</f>
        <v>16</v>
      </c>
      <c r="J5" s="14">
        <v>35297</v>
      </c>
      <c r="K5" s="15">
        <f ca="1">(hoy - datos[[#This Row],[NACIMIENTO]]) / 365</f>
        <v>26.219178082191782</v>
      </c>
      <c r="L5" s="16">
        <f ca="1">año - YEAR(datos[[#This Row],[NACIMIENTO]])</f>
        <v>26</v>
      </c>
      <c r="M5" t="s">
        <v>69</v>
      </c>
      <c r="N5" t="str">
        <f>LEFT(datos[[#This Row],[CUIL]],2)</f>
        <v>27</v>
      </c>
      <c r="O5" t="str">
        <f>MID(datos[[#This Row],[CUIL]],4,8)</f>
        <v>94975900</v>
      </c>
      <c r="P5" t="str">
        <f>RIGHT(datos[[#This Row],[CUIL]],1)</f>
        <v>3</v>
      </c>
      <c r="Q5" s="4">
        <f>COUNTIF(ventas[Empleado],datos[[#This Row],[Cod]])</f>
        <v>2</v>
      </c>
      <c r="R5" s="6">
        <f>SUMIF(ventas[Empleado],datos[[#This Row],[Cod]],ventas[total])</f>
        <v>278304</v>
      </c>
    </row>
    <row r="6" spans="1:18" x14ac:dyDescent="0.25">
      <c r="A6" s="30" t="s">
        <v>88</v>
      </c>
      <c r="B6" s="34">
        <f ca="1">YEAR(B3)</f>
        <v>2022</v>
      </c>
      <c r="D6">
        <v>5</v>
      </c>
      <c r="E6" t="str">
        <f>presentismo[[#This Row],[Empleado]]</f>
        <v>Romina,  Gurruchaga</v>
      </c>
      <c r="F6" t="str">
        <f>TRIM(RIGHT(datos[[#This Row],[Empleado]],datos[[#This Row],[LARGO]] - (datos[[#This Row],[SEPARADOR]] )))</f>
        <v>Gurruchaga</v>
      </c>
      <c r="G6" t="str">
        <f>TRIM(LEFT(datos[[#This Row],[Empleado]],datos[[#This Row],[SEPARADOR]] - 1))</f>
        <v>Romina</v>
      </c>
      <c r="H6">
        <f>FIND(char,datos[[#This Row],[Empleado]])</f>
        <v>7</v>
      </c>
      <c r="I6">
        <f>LEN(datos[[#This Row],[Empleado]])</f>
        <v>19</v>
      </c>
      <c r="J6" s="14">
        <v>33708</v>
      </c>
      <c r="K6" s="15">
        <f ca="1">(hoy - datos[[#This Row],[NACIMIENTO]]) / 365</f>
        <v>30.572602739726026</v>
      </c>
      <c r="L6" s="16">
        <f ca="1">año - YEAR(datos[[#This Row],[NACIMIENTO]])</f>
        <v>30</v>
      </c>
      <c r="M6" t="s">
        <v>70</v>
      </c>
      <c r="N6" t="str">
        <f>LEFT(datos[[#This Row],[CUIL]],2)</f>
        <v>27</v>
      </c>
      <c r="O6" t="str">
        <f>MID(datos[[#This Row],[CUIL]],4,8)</f>
        <v>36873001</v>
      </c>
      <c r="P6" t="str">
        <f>RIGHT(datos[[#This Row],[CUIL]],1)</f>
        <v>7</v>
      </c>
      <c r="Q6" s="4">
        <f>COUNTIF(ventas[Empleado],datos[[#This Row],[Cod]])</f>
        <v>3</v>
      </c>
      <c r="R6" s="6">
        <f>SUMIF(ventas[Empleado],datos[[#This Row],[Cod]],ventas[total])</f>
        <v>525992</v>
      </c>
    </row>
    <row r="7" spans="1:18" x14ac:dyDescent="0.25">
      <c r="A7" s="32" t="s">
        <v>89</v>
      </c>
      <c r="B7" s="40">
        <f ca="1">NOW()</f>
        <v>44867.747971180557</v>
      </c>
      <c r="D7">
        <v>6</v>
      </c>
      <c r="E7" t="str">
        <f>presentismo[[#This Row],[Empleado]]</f>
        <v>Juan, Perez</v>
      </c>
      <c r="F7" t="str">
        <f>TRIM(RIGHT(datos[[#This Row],[Empleado]],datos[[#This Row],[LARGO]] - (datos[[#This Row],[SEPARADOR]] )))</f>
        <v>Perez</v>
      </c>
      <c r="G7" t="str">
        <f>TRIM(LEFT(datos[[#This Row],[Empleado]],datos[[#This Row],[SEPARADOR]] - 1))</f>
        <v>Juan</v>
      </c>
      <c r="H7">
        <f>FIND(char,datos[[#This Row],[Empleado]])</f>
        <v>5</v>
      </c>
      <c r="I7">
        <f>LEN(datos[[#This Row],[Empleado]])</f>
        <v>11</v>
      </c>
      <c r="J7" s="14">
        <v>34109</v>
      </c>
      <c r="K7" s="15">
        <f ca="1">(hoy - datos[[#This Row],[NACIMIENTO]]) / 365</f>
        <v>29.473972602739725</v>
      </c>
      <c r="L7" s="16">
        <f ca="1">año - YEAR(datos[[#This Row],[NACIMIENTO]])</f>
        <v>29</v>
      </c>
      <c r="M7" t="s">
        <v>67</v>
      </c>
      <c r="N7" t="str">
        <f>LEFT(datos[[#This Row],[CUIL]],2)</f>
        <v>20</v>
      </c>
      <c r="O7" t="str">
        <f>MID(datos[[#This Row],[CUIL]],4,8)</f>
        <v>27423190</v>
      </c>
      <c r="P7" t="str">
        <f>RIGHT(datos[[#This Row],[CUIL]],1)</f>
        <v>3</v>
      </c>
      <c r="Q7" s="4">
        <f>COUNTIF(ventas[Empleado],datos[[#This Row],[Cod]])</f>
        <v>1</v>
      </c>
      <c r="R7" s="6">
        <f>SUMIF(ventas[Empleado],datos[[#This Row],[Cod]],ventas[total])</f>
        <v>76199.97</v>
      </c>
    </row>
    <row r="8" spans="1:18" x14ac:dyDescent="0.25">
      <c r="A8" s="30" t="s">
        <v>90</v>
      </c>
      <c r="B8" s="34">
        <f ca="1">HOUR(B7)</f>
        <v>17</v>
      </c>
      <c r="D8">
        <v>7</v>
      </c>
      <c r="E8" t="str">
        <f>presentismo[[#This Row],[Empleado]]</f>
        <v>Gonzalez, Gonzalo</v>
      </c>
      <c r="F8" t="str">
        <f>TRIM(RIGHT(datos[[#This Row],[Empleado]],datos[[#This Row],[LARGO]] - (datos[[#This Row],[SEPARADOR]] )))</f>
        <v>Gonzalo</v>
      </c>
      <c r="G8" t="str">
        <f>TRIM(LEFT(datos[[#This Row],[Empleado]],datos[[#This Row],[SEPARADOR]] - 1))</f>
        <v>Gonzalez</v>
      </c>
      <c r="H8">
        <f>FIND(char,datos[[#This Row],[Empleado]])</f>
        <v>9</v>
      </c>
      <c r="I8">
        <f>LEN(datos[[#This Row],[Empleado]])</f>
        <v>17</v>
      </c>
      <c r="J8" s="14">
        <v>36526</v>
      </c>
      <c r="K8" s="15">
        <f ca="1">(hoy - datos[[#This Row],[NACIMIENTO]]) / 365</f>
        <v>22.852054794520548</v>
      </c>
      <c r="L8" s="16">
        <f ca="1">año - YEAR(datos[[#This Row],[NACIMIENTO]])</f>
        <v>22</v>
      </c>
      <c r="M8" t="s">
        <v>68</v>
      </c>
      <c r="N8" t="str">
        <f>LEFT(datos[[#This Row],[CUIL]],2)</f>
        <v>20</v>
      </c>
      <c r="O8" t="str">
        <f>MID(datos[[#This Row],[CUIL]],4,8)</f>
        <v>12839481</v>
      </c>
      <c r="P8" t="str">
        <f>RIGHT(datos[[#This Row],[CUIL]],1)</f>
        <v>2</v>
      </c>
      <c r="Q8" s="4">
        <f>COUNTIF(ventas[Empleado],datos[[#This Row],[Cod]])</f>
        <v>0</v>
      </c>
      <c r="R8" s="6">
        <f>SUMIF(ventas[Empleado],datos[[#This Row],[Cod]],ventas[total])</f>
        <v>0</v>
      </c>
    </row>
    <row r="9" spans="1:18" x14ac:dyDescent="0.25">
      <c r="A9" s="32" t="s">
        <v>91</v>
      </c>
      <c r="B9" s="41">
        <f ca="1">MINUTE(B7)</f>
        <v>57</v>
      </c>
      <c r="D9">
        <v>8</v>
      </c>
      <c r="E9" s="4" t="s">
        <v>77</v>
      </c>
      <c r="F9" s="4" t="str">
        <f>TRIM(RIGHT(datos[[#This Row],[Empleado]],datos[[#This Row],[LARGO]] - (datos[[#This Row],[SEPARADOR]] )))</f>
        <v>Miguel</v>
      </c>
      <c r="G9" s="4" t="str">
        <f>TRIM(LEFT(datos[[#This Row],[Empleado]],datos[[#This Row],[SEPARADOR]] - 1))</f>
        <v>De la Cruz</v>
      </c>
      <c r="H9" s="4">
        <f>FIND(char,datos[[#This Row],[Empleado]])</f>
        <v>11</v>
      </c>
      <c r="I9" s="4">
        <f>LEN(datos[[#This Row],[Empleado]])</f>
        <v>18</v>
      </c>
      <c r="J9" s="14">
        <v>26358</v>
      </c>
      <c r="K9" s="15">
        <f ca="1">(hoy - datos[[#This Row],[NACIMIENTO]]) / 365</f>
        <v>50.709589041095889</v>
      </c>
      <c r="L9" s="16">
        <f ca="1">año - YEAR(datos[[#This Row],[NACIMIENTO]])</f>
        <v>50</v>
      </c>
      <c r="M9" t="s">
        <v>94</v>
      </c>
      <c r="N9" s="4" t="str">
        <f>LEFT(datos[[#This Row],[CUIL]],2)</f>
        <v>20</v>
      </c>
      <c r="O9" s="4" t="str">
        <f>MID(datos[[#This Row],[CUIL]],4,8)</f>
        <v>16835460</v>
      </c>
      <c r="P9" s="4" t="str">
        <f>RIGHT(datos[[#This Row],[CUIL]],1)</f>
        <v>6</v>
      </c>
      <c r="Q9" s="4">
        <f>COUNTIF(ventas[Empleado],datos[[#This Row],[Cod]])</f>
        <v>0</v>
      </c>
      <c r="R9" s="6">
        <f>SUMIF(ventas[Empleado],datos[[#This Row],[Cod]],ventas[total])</f>
        <v>0</v>
      </c>
    </row>
    <row r="10" spans="1:18" x14ac:dyDescent="0.25">
      <c r="A10" s="19" t="s">
        <v>92</v>
      </c>
      <c r="B10" s="20">
        <f ca="1">SECOND(B7)</f>
        <v>5</v>
      </c>
      <c r="D10">
        <v>9</v>
      </c>
      <c r="E10" s="4" t="s">
        <v>78</v>
      </c>
      <c r="F10" s="4" t="str">
        <f>TRIM(RIGHT(datos[[#This Row],[Empleado]],datos[[#This Row],[LARGO]] - (datos[[#This Row],[SEPARADOR]] )))</f>
        <v>Joan</v>
      </c>
      <c r="G10" s="4" t="str">
        <f>TRIM(LEFT(datos[[#This Row],[Empleado]],datos[[#This Row],[SEPARADOR]] - 1))</f>
        <v>d'Arc</v>
      </c>
      <c r="H10" s="4">
        <f>FIND(char,datos[[#This Row],[Empleado]])</f>
        <v>6</v>
      </c>
      <c r="I10" s="4">
        <f>LEN(datos[[#This Row],[Empleado]])</f>
        <v>11</v>
      </c>
      <c r="J10" s="14">
        <v>21938</v>
      </c>
      <c r="K10" s="15">
        <f ca="1">(hoy - datos[[#This Row],[NACIMIENTO]]) / 365</f>
        <v>62.819178082191783</v>
      </c>
      <c r="L10" s="16">
        <f ca="1">año - YEAR(datos[[#This Row],[NACIMIENTO]])</f>
        <v>62</v>
      </c>
      <c r="M10" t="s">
        <v>95</v>
      </c>
      <c r="N10" s="4" t="str">
        <f>LEFT(datos[[#This Row],[CUIL]],2)</f>
        <v>27</v>
      </c>
      <c r="O10" s="4" t="str">
        <f>MID(datos[[#This Row],[CUIL]],4,8)</f>
        <v>12850734</v>
      </c>
      <c r="P10" s="4" t="str">
        <f>RIGHT(datos[[#This Row],[CUIL]],1)</f>
        <v>2</v>
      </c>
      <c r="Q10" s="4">
        <f>COUNTIF(ventas[Empleado],datos[[#This Row],[Cod]])</f>
        <v>0</v>
      </c>
      <c r="R10" s="6">
        <f>SUMIF(ventas[Empleado],datos[[#This Row],[Cod]],ventas[total])</f>
        <v>0</v>
      </c>
    </row>
  </sheetData>
  <mergeCells count="1">
    <mergeCell ref="A1:B1"/>
  </mergeCells>
  <hyperlinks>
    <hyperlink ref="A1:B1" location="menu!A1" display="volver al inicio" xr:uid="{C5369E16-FA7E-4FAC-BB2F-DA6B5D792535}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29D2-6704-4347-93F2-81F7E9527D06}">
  <dimension ref="A1:C1"/>
  <sheetViews>
    <sheetView tabSelected="1" zoomScale="85" zoomScaleNormal="85" workbookViewId="0">
      <selection activeCell="O17" sqref="O17"/>
    </sheetView>
  </sheetViews>
  <sheetFormatPr baseColWidth="10" defaultRowHeight="15" x14ac:dyDescent="0.25"/>
  <sheetData>
    <row r="1" spans="1:3" ht="22.5" customHeight="1" x14ac:dyDescent="0.25">
      <c r="A1" s="43" t="s">
        <v>107</v>
      </c>
      <c r="B1" s="43"/>
      <c r="C1" s="43"/>
    </row>
  </sheetData>
  <mergeCells count="1">
    <mergeCell ref="A1:C1"/>
  </mergeCells>
  <hyperlinks>
    <hyperlink ref="A1:C1" location="menu!A1" display="volver al inicio" xr:uid="{AB5DA35A-54EC-44B5-8578-06F8CEC7A51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menu</vt:lpstr>
      <vt:lpstr>presentismo</vt:lpstr>
      <vt:lpstr>Productos</vt:lpstr>
      <vt:lpstr>ventas</vt:lpstr>
      <vt:lpstr>datos</vt:lpstr>
      <vt:lpstr>estadisticas</vt:lpstr>
      <vt:lpstr>año</vt:lpstr>
      <vt:lpstr>char</vt:lpstr>
      <vt:lpstr>dia</vt:lpstr>
      <vt:lpstr>hoy</vt:lpstr>
      <vt:lpstr>IVA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2022-10-19T19:31:35Z</dcterms:created>
  <dcterms:modified xsi:type="dcterms:W3CDTF">2022-11-02T21:05:23Z</dcterms:modified>
</cp:coreProperties>
</file>