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2\"/>
    </mc:Choice>
  </mc:AlternateContent>
  <xr:revisionPtr revIDLastSave="0" documentId="13_ncr:1_{2196A3B2-1550-4B7D-BB21-4FB308E413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libração X" sheetId="1" r:id="rId1"/>
    <sheet name="comp" sheetId="18" r:id="rId2"/>
    <sheet name="1-Calibração" sheetId="2" state="hidden" r:id="rId3"/>
    <sheet name="1-dep. Angular" sheetId="3" state="hidden" r:id="rId4"/>
    <sheet name="Sheet5" sheetId="4" state="hidden" r:id="rId5"/>
    <sheet name="2-Calibração" sheetId="5" r:id="rId6"/>
    <sheet name="2-dep. Angular" sheetId="6" r:id="rId7"/>
    <sheet name="Dep.Ang outro grupo" sheetId="7" r:id="rId8"/>
    <sheet name="2-Janela" sheetId="8" state="hidden" r:id="rId9"/>
    <sheet name="2-Fortuitas" sheetId="9" r:id="rId10"/>
    <sheet name="2-Eficiência do pico" sheetId="10" r:id="rId11"/>
    <sheet name="3-Calibração" sheetId="11" state="hidden" r:id="rId12"/>
    <sheet name="4-Calibração" sheetId="12" state="hidden" r:id="rId13"/>
    <sheet name="3-fi,r" sheetId="13" r:id="rId14"/>
    <sheet name="Eficiencias" sheetId="14" r:id="rId15"/>
    <sheet name="4" sheetId="15" r:id="rId16"/>
    <sheet name="Arede_Dados_Para_fits" sheetId="16" r:id="rId17"/>
    <sheet name="Outros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7" l="1"/>
  <c r="M54" i="17" s="1"/>
  <c r="J54" i="17"/>
  <c r="L54" i="17" s="1"/>
  <c r="K53" i="17"/>
  <c r="M53" i="17" s="1"/>
  <c r="J53" i="17"/>
  <c r="L53" i="17" s="1"/>
  <c r="K49" i="17"/>
  <c r="M49" i="17" s="1"/>
  <c r="J49" i="17"/>
  <c r="L49" i="17" s="1"/>
  <c r="L48" i="17"/>
  <c r="K48" i="17"/>
  <c r="M48" i="17" s="1"/>
  <c r="J48" i="17"/>
  <c r="K42" i="17"/>
  <c r="J42" i="17"/>
  <c r="I42" i="17"/>
  <c r="H42" i="17"/>
  <c r="G42" i="17"/>
  <c r="F42" i="17"/>
  <c r="E42" i="17"/>
  <c r="D42" i="17"/>
  <c r="C42" i="17"/>
  <c r="B42" i="17"/>
  <c r="K41" i="17"/>
  <c r="J41" i="17"/>
  <c r="I41" i="17"/>
  <c r="H41" i="17"/>
  <c r="G41" i="17"/>
  <c r="F41" i="17"/>
  <c r="E41" i="17"/>
  <c r="D41" i="17"/>
  <c r="C41" i="17"/>
  <c r="B41" i="17"/>
  <c r="K40" i="17"/>
  <c r="J40" i="17"/>
  <c r="I40" i="17"/>
  <c r="H40" i="17"/>
  <c r="G40" i="17"/>
  <c r="F40" i="17"/>
  <c r="E40" i="17"/>
  <c r="D40" i="17"/>
  <c r="C40" i="17"/>
  <c r="B40" i="17"/>
  <c r="K39" i="17"/>
  <c r="J39" i="17"/>
  <c r="I39" i="17"/>
  <c r="H39" i="17"/>
  <c r="G39" i="17"/>
  <c r="F39" i="17"/>
  <c r="E39" i="17"/>
  <c r="D39" i="17"/>
  <c r="C39" i="17"/>
  <c r="B39" i="17"/>
  <c r="K38" i="17"/>
  <c r="J38" i="17"/>
  <c r="I38" i="17"/>
  <c r="H38" i="17"/>
  <c r="G38" i="17"/>
  <c r="F38" i="17"/>
  <c r="E38" i="17"/>
  <c r="D38" i="17"/>
  <c r="C38" i="17"/>
  <c r="B38" i="17"/>
  <c r="K37" i="17"/>
  <c r="J37" i="17"/>
  <c r="I37" i="17"/>
  <c r="H37" i="17"/>
  <c r="G37" i="17"/>
  <c r="F37" i="17"/>
  <c r="E37" i="17"/>
  <c r="D37" i="17"/>
  <c r="C37" i="17"/>
  <c r="B37" i="17"/>
  <c r="K36" i="17"/>
  <c r="J36" i="17"/>
  <c r="I36" i="17"/>
  <c r="H36" i="17"/>
  <c r="G36" i="17"/>
  <c r="F36" i="17"/>
  <c r="E36" i="17"/>
  <c r="D36" i="17"/>
  <c r="C36" i="17"/>
  <c r="B36" i="17"/>
  <c r="K35" i="17"/>
  <c r="J35" i="17"/>
  <c r="I35" i="17"/>
  <c r="H35" i="17"/>
  <c r="G35" i="17"/>
  <c r="F35" i="17"/>
  <c r="E35" i="17"/>
  <c r="D35" i="17"/>
  <c r="C35" i="17"/>
  <c r="B35" i="17"/>
  <c r="K34" i="17"/>
  <c r="J34" i="17"/>
  <c r="I34" i="17"/>
  <c r="H34" i="17"/>
  <c r="G34" i="17"/>
  <c r="F34" i="17"/>
  <c r="E34" i="17"/>
  <c r="D34" i="17"/>
  <c r="C34" i="17"/>
  <c r="B34" i="17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A30" i="17"/>
  <c r="K29" i="17"/>
  <c r="J29" i="17"/>
  <c r="I29" i="17"/>
  <c r="H29" i="17"/>
  <c r="G29" i="17"/>
  <c r="F29" i="17"/>
  <c r="E29" i="17"/>
  <c r="D29" i="17"/>
  <c r="C29" i="17"/>
  <c r="B29" i="17"/>
  <c r="A29" i="17"/>
  <c r="A16" i="17"/>
  <c r="D9" i="16"/>
  <c r="D8" i="16"/>
  <c r="D7" i="16"/>
  <c r="D6" i="16"/>
  <c r="D5" i="16"/>
  <c r="D4" i="16"/>
  <c r="D3" i="16"/>
  <c r="D2" i="16"/>
  <c r="D1" i="16"/>
  <c r="D378" i="15"/>
  <c r="B378" i="15"/>
  <c r="F377" i="15"/>
  <c r="D377" i="15"/>
  <c r="B377" i="15"/>
  <c r="G374" i="15"/>
  <c r="E374" i="15"/>
  <c r="C374" i="15"/>
  <c r="C378" i="15" s="1"/>
  <c r="G373" i="15"/>
  <c r="E373" i="15"/>
  <c r="C373" i="15"/>
  <c r="G372" i="15"/>
  <c r="E372" i="15"/>
  <c r="C372" i="15"/>
  <c r="A372" i="15"/>
  <c r="A373" i="15" s="1"/>
  <c r="A374" i="15" s="1"/>
  <c r="G371" i="15"/>
  <c r="E371" i="15"/>
  <c r="C371" i="15"/>
  <c r="C381" i="15" s="1"/>
  <c r="G366" i="15"/>
  <c r="E366" i="15"/>
  <c r="C366" i="15"/>
  <c r="G365" i="15"/>
  <c r="E365" i="15"/>
  <c r="C365" i="15"/>
  <c r="G364" i="15"/>
  <c r="E364" i="15"/>
  <c r="C364" i="15"/>
  <c r="G363" i="15"/>
  <c r="E363" i="15"/>
  <c r="C363" i="15"/>
  <c r="I360" i="15"/>
  <c r="G359" i="15"/>
  <c r="M350" i="15" s="1"/>
  <c r="P350" i="15" s="1"/>
  <c r="E359" i="15"/>
  <c r="C359" i="15"/>
  <c r="G356" i="15"/>
  <c r="E356" i="15"/>
  <c r="C356" i="15"/>
  <c r="O353" i="15"/>
  <c r="L353" i="15"/>
  <c r="I353" i="15"/>
  <c r="G353" i="15"/>
  <c r="E353" i="15"/>
  <c r="O352" i="15"/>
  <c r="L352" i="15"/>
  <c r="I352" i="15"/>
  <c r="G352" i="15"/>
  <c r="E352" i="15"/>
  <c r="O351" i="15"/>
  <c r="AN14" i="15" s="1"/>
  <c r="M351" i="15"/>
  <c r="P351" i="15" s="1"/>
  <c r="L351" i="15"/>
  <c r="I351" i="15"/>
  <c r="G351" i="15"/>
  <c r="E351" i="15"/>
  <c r="O350" i="15"/>
  <c r="L350" i="15"/>
  <c r="I350" i="15"/>
  <c r="G350" i="15"/>
  <c r="E350" i="15"/>
  <c r="O349" i="15"/>
  <c r="L349" i="15"/>
  <c r="I349" i="15"/>
  <c r="G349" i="15"/>
  <c r="E349" i="15"/>
  <c r="O348" i="15"/>
  <c r="L348" i="15"/>
  <c r="I348" i="15"/>
  <c r="G348" i="15"/>
  <c r="E348" i="15"/>
  <c r="O347" i="15"/>
  <c r="AN10" i="15" s="1"/>
  <c r="M347" i="15"/>
  <c r="P347" i="15" s="1"/>
  <c r="L347" i="15"/>
  <c r="I347" i="15"/>
  <c r="G347" i="15"/>
  <c r="E347" i="15"/>
  <c r="O346" i="15"/>
  <c r="M346" i="15"/>
  <c r="P346" i="15" s="1"/>
  <c r="L346" i="15"/>
  <c r="I346" i="15"/>
  <c r="G346" i="15"/>
  <c r="E346" i="15"/>
  <c r="O345" i="15"/>
  <c r="M345" i="15"/>
  <c r="P345" i="15" s="1"/>
  <c r="L345" i="15"/>
  <c r="I345" i="15"/>
  <c r="G345" i="15"/>
  <c r="E345" i="15"/>
  <c r="O344" i="15"/>
  <c r="L344" i="15"/>
  <c r="I344" i="15"/>
  <c r="G344" i="15"/>
  <c r="E344" i="15"/>
  <c r="O343" i="15"/>
  <c r="AN6" i="15" s="1"/>
  <c r="M343" i="15"/>
  <c r="P343" i="15" s="1"/>
  <c r="L343" i="15"/>
  <c r="I343" i="15"/>
  <c r="G343" i="15"/>
  <c r="E343" i="15"/>
  <c r="O342" i="15"/>
  <c r="M342" i="15"/>
  <c r="P342" i="15" s="1"/>
  <c r="L342" i="15"/>
  <c r="I342" i="15"/>
  <c r="G342" i="15"/>
  <c r="E342" i="15"/>
  <c r="C342" i="15"/>
  <c r="C343" i="15" s="1"/>
  <c r="C344" i="15" s="1"/>
  <c r="C345" i="15" s="1"/>
  <c r="C346" i="15" s="1"/>
  <c r="C347" i="15" s="1"/>
  <c r="C348" i="15" s="1"/>
  <c r="C349" i="15" s="1"/>
  <c r="C350" i="15" s="1"/>
  <c r="C351" i="15" s="1"/>
  <c r="C352" i="15" s="1"/>
  <c r="C353" i="15" s="1"/>
  <c r="O341" i="15"/>
  <c r="M341" i="15"/>
  <c r="P341" i="15" s="1"/>
  <c r="L341" i="15"/>
  <c r="I341" i="15"/>
  <c r="G341" i="15"/>
  <c r="E341" i="15"/>
  <c r="O339" i="15"/>
  <c r="L339" i="15"/>
  <c r="I339" i="15"/>
  <c r="M339" i="15" s="1"/>
  <c r="P339" i="15" s="1"/>
  <c r="G339" i="15"/>
  <c r="E339" i="15"/>
  <c r="P338" i="15"/>
  <c r="O338" i="15"/>
  <c r="L338" i="15"/>
  <c r="I338" i="15"/>
  <c r="M338" i="15" s="1"/>
  <c r="G338" i="15"/>
  <c r="E338" i="15"/>
  <c r="O337" i="15"/>
  <c r="AM14" i="15" s="1"/>
  <c r="L337" i="15"/>
  <c r="I337" i="15"/>
  <c r="M337" i="15" s="1"/>
  <c r="P337" i="15" s="1"/>
  <c r="G337" i="15"/>
  <c r="E337" i="15"/>
  <c r="O336" i="15"/>
  <c r="L336" i="15"/>
  <c r="I336" i="15"/>
  <c r="M336" i="15" s="1"/>
  <c r="P336" i="15" s="1"/>
  <c r="G336" i="15"/>
  <c r="E336" i="15"/>
  <c r="O335" i="15"/>
  <c r="L335" i="15"/>
  <c r="I335" i="15"/>
  <c r="M335" i="15" s="1"/>
  <c r="P335" i="15" s="1"/>
  <c r="G335" i="15"/>
  <c r="E335" i="15"/>
  <c r="P334" i="15"/>
  <c r="O334" i="15"/>
  <c r="L334" i="15"/>
  <c r="I334" i="15"/>
  <c r="M334" i="15" s="1"/>
  <c r="G334" i="15"/>
  <c r="E334" i="15"/>
  <c r="O333" i="15"/>
  <c r="AM10" i="15" s="1"/>
  <c r="L333" i="15"/>
  <c r="I333" i="15"/>
  <c r="M333" i="15" s="1"/>
  <c r="P333" i="15" s="1"/>
  <c r="G333" i="15"/>
  <c r="E333" i="15"/>
  <c r="O332" i="15"/>
  <c r="L332" i="15"/>
  <c r="I332" i="15"/>
  <c r="M332" i="15" s="1"/>
  <c r="P332" i="15" s="1"/>
  <c r="G332" i="15"/>
  <c r="E332" i="15"/>
  <c r="O331" i="15"/>
  <c r="L331" i="15"/>
  <c r="I331" i="15"/>
  <c r="M331" i="15" s="1"/>
  <c r="P331" i="15" s="1"/>
  <c r="G331" i="15"/>
  <c r="E331" i="15"/>
  <c r="P330" i="15"/>
  <c r="O330" i="15"/>
  <c r="L330" i="15"/>
  <c r="I330" i="15"/>
  <c r="M330" i="15" s="1"/>
  <c r="G330" i="15"/>
  <c r="E330" i="15"/>
  <c r="O329" i="15"/>
  <c r="AM6" i="15" s="1"/>
  <c r="L329" i="15"/>
  <c r="I329" i="15"/>
  <c r="M329" i="15" s="1"/>
  <c r="P329" i="15" s="1"/>
  <c r="G329" i="15"/>
  <c r="E329" i="15"/>
  <c r="O328" i="15"/>
  <c r="L328" i="15"/>
  <c r="I328" i="15"/>
  <c r="M328" i="15" s="1"/>
  <c r="P328" i="15" s="1"/>
  <c r="G328" i="15"/>
  <c r="E328" i="15"/>
  <c r="C328" i="15"/>
  <c r="C329" i="15" s="1"/>
  <c r="C330" i="15" s="1"/>
  <c r="C331" i="15" s="1"/>
  <c r="C332" i="15" s="1"/>
  <c r="C333" i="15" s="1"/>
  <c r="C334" i="15" s="1"/>
  <c r="C335" i="15" s="1"/>
  <c r="C336" i="15" s="1"/>
  <c r="C337" i="15" s="1"/>
  <c r="C338" i="15" s="1"/>
  <c r="C339" i="15" s="1"/>
  <c r="P327" i="15"/>
  <c r="O327" i="15"/>
  <c r="L327" i="15"/>
  <c r="I327" i="15"/>
  <c r="M327" i="15" s="1"/>
  <c r="G327" i="15"/>
  <c r="E327" i="15"/>
  <c r="L325" i="15"/>
  <c r="O325" i="15" s="1"/>
  <c r="I325" i="15"/>
  <c r="M325" i="15" s="1"/>
  <c r="P325" i="15" s="1"/>
  <c r="G325" i="15"/>
  <c r="E325" i="15"/>
  <c r="P324" i="15"/>
  <c r="L324" i="15"/>
  <c r="O324" i="15" s="1"/>
  <c r="I324" i="15"/>
  <c r="M324" i="15" s="1"/>
  <c r="G324" i="15"/>
  <c r="E324" i="15"/>
  <c r="L323" i="15"/>
  <c r="O323" i="15" s="1"/>
  <c r="AL14" i="15" s="1"/>
  <c r="I323" i="15"/>
  <c r="M323" i="15" s="1"/>
  <c r="P323" i="15" s="1"/>
  <c r="G323" i="15"/>
  <c r="E323" i="15"/>
  <c r="L322" i="15"/>
  <c r="O322" i="15" s="1"/>
  <c r="I322" i="15"/>
  <c r="M322" i="15" s="1"/>
  <c r="P322" i="15" s="1"/>
  <c r="G322" i="15"/>
  <c r="E322" i="15"/>
  <c r="L321" i="15"/>
  <c r="O321" i="15" s="1"/>
  <c r="I321" i="15"/>
  <c r="M321" i="15" s="1"/>
  <c r="P321" i="15" s="1"/>
  <c r="G321" i="15"/>
  <c r="E321" i="15"/>
  <c r="P320" i="15"/>
  <c r="L320" i="15"/>
  <c r="O320" i="15" s="1"/>
  <c r="I320" i="15"/>
  <c r="M320" i="15" s="1"/>
  <c r="G320" i="15"/>
  <c r="E320" i="15"/>
  <c r="L319" i="15"/>
  <c r="O319" i="15" s="1"/>
  <c r="AL10" i="15" s="1"/>
  <c r="I319" i="15"/>
  <c r="M319" i="15" s="1"/>
  <c r="P319" i="15" s="1"/>
  <c r="G319" i="15"/>
  <c r="E319" i="15"/>
  <c r="L318" i="15"/>
  <c r="O318" i="15" s="1"/>
  <c r="I318" i="15"/>
  <c r="M318" i="15" s="1"/>
  <c r="P318" i="15" s="1"/>
  <c r="G318" i="15"/>
  <c r="E318" i="15"/>
  <c r="L317" i="15"/>
  <c r="O317" i="15" s="1"/>
  <c r="I317" i="15"/>
  <c r="M317" i="15" s="1"/>
  <c r="P317" i="15" s="1"/>
  <c r="G317" i="15"/>
  <c r="E317" i="15"/>
  <c r="C317" i="15"/>
  <c r="C318" i="15" s="1"/>
  <c r="C319" i="15" s="1"/>
  <c r="C320" i="15" s="1"/>
  <c r="C321" i="15" s="1"/>
  <c r="C322" i="15" s="1"/>
  <c r="C323" i="15" s="1"/>
  <c r="C324" i="15" s="1"/>
  <c r="C325" i="15" s="1"/>
  <c r="P316" i="15"/>
  <c r="L316" i="15"/>
  <c r="O316" i="15" s="1"/>
  <c r="I316" i="15"/>
  <c r="M316" i="15" s="1"/>
  <c r="G316" i="15"/>
  <c r="E316" i="15"/>
  <c r="L315" i="15"/>
  <c r="O315" i="15" s="1"/>
  <c r="AL6" i="15" s="1"/>
  <c r="I315" i="15"/>
  <c r="M315" i="15" s="1"/>
  <c r="P315" i="15" s="1"/>
  <c r="G315" i="15"/>
  <c r="E315" i="15"/>
  <c r="L314" i="15"/>
  <c r="O314" i="15" s="1"/>
  <c r="I314" i="15"/>
  <c r="M314" i="15" s="1"/>
  <c r="P314" i="15" s="1"/>
  <c r="G314" i="15"/>
  <c r="E314" i="15"/>
  <c r="C314" i="15"/>
  <c r="C315" i="15" s="1"/>
  <c r="C316" i="15" s="1"/>
  <c r="L313" i="15"/>
  <c r="O313" i="15" s="1"/>
  <c r="I313" i="15"/>
  <c r="M313" i="15" s="1"/>
  <c r="P313" i="15" s="1"/>
  <c r="G313" i="15"/>
  <c r="E313" i="15"/>
  <c r="L311" i="15"/>
  <c r="O311" i="15" s="1"/>
  <c r="I311" i="15"/>
  <c r="M311" i="15" s="1"/>
  <c r="P311" i="15" s="1"/>
  <c r="G311" i="15"/>
  <c r="E311" i="15"/>
  <c r="L310" i="15"/>
  <c r="O310" i="15" s="1"/>
  <c r="I310" i="15"/>
  <c r="M310" i="15" s="1"/>
  <c r="P310" i="15" s="1"/>
  <c r="G310" i="15"/>
  <c r="E310" i="15"/>
  <c r="L309" i="15"/>
  <c r="O309" i="15" s="1"/>
  <c r="I309" i="15"/>
  <c r="M309" i="15" s="1"/>
  <c r="P309" i="15" s="1"/>
  <c r="G309" i="15"/>
  <c r="E309" i="15"/>
  <c r="L308" i="15"/>
  <c r="O308" i="15" s="1"/>
  <c r="AK13" i="15" s="1"/>
  <c r="I308" i="15"/>
  <c r="M308" i="15" s="1"/>
  <c r="P308" i="15" s="1"/>
  <c r="G308" i="15"/>
  <c r="E308" i="15"/>
  <c r="L307" i="15"/>
  <c r="O307" i="15" s="1"/>
  <c r="I307" i="15"/>
  <c r="M307" i="15" s="1"/>
  <c r="P307" i="15" s="1"/>
  <c r="G307" i="15"/>
  <c r="E307" i="15"/>
  <c r="L306" i="15"/>
  <c r="O306" i="15" s="1"/>
  <c r="I306" i="15"/>
  <c r="M306" i="15" s="1"/>
  <c r="P306" i="15" s="1"/>
  <c r="G306" i="15"/>
  <c r="E306" i="15"/>
  <c r="L305" i="15"/>
  <c r="O305" i="15" s="1"/>
  <c r="I305" i="15"/>
  <c r="M305" i="15" s="1"/>
  <c r="P305" i="15" s="1"/>
  <c r="G305" i="15"/>
  <c r="E305" i="15"/>
  <c r="L304" i="15"/>
  <c r="O304" i="15" s="1"/>
  <c r="I304" i="15"/>
  <c r="M304" i="15" s="1"/>
  <c r="P304" i="15" s="1"/>
  <c r="G304" i="15"/>
  <c r="E304" i="15"/>
  <c r="C304" i="15"/>
  <c r="C305" i="15" s="1"/>
  <c r="C306" i="15" s="1"/>
  <c r="C307" i="15" s="1"/>
  <c r="C308" i="15" s="1"/>
  <c r="C309" i="15" s="1"/>
  <c r="C310" i="15" s="1"/>
  <c r="C311" i="15" s="1"/>
  <c r="L303" i="15"/>
  <c r="O303" i="15" s="1"/>
  <c r="I303" i="15"/>
  <c r="M303" i="15" s="1"/>
  <c r="P303" i="15" s="1"/>
  <c r="G303" i="15"/>
  <c r="E303" i="15"/>
  <c r="L302" i="15"/>
  <c r="O302" i="15" s="1"/>
  <c r="I302" i="15"/>
  <c r="M302" i="15" s="1"/>
  <c r="P302" i="15" s="1"/>
  <c r="G302" i="15"/>
  <c r="E302" i="15"/>
  <c r="L301" i="15"/>
  <c r="O301" i="15" s="1"/>
  <c r="I301" i="15"/>
  <c r="M301" i="15" s="1"/>
  <c r="P301" i="15" s="1"/>
  <c r="G301" i="15"/>
  <c r="E301" i="15"/>
  <c r="L300" i="15"/>
  <c r="O300" i="15" s="1"/>
  <c r="AK5" i="15" s="1"/>
  <c r="I300" i="15"/>
  <c r="M300" i="15" s="1"/>
  <c r="P300" i="15" s="1"/>
  <c r="G300" i="15"/>
  <c r="E300" i="15"/>
  <c r="C300" i="15"/>
  <c r="C301" i="15" s="1"/>
  <c r="C302" i="15" s="1"/>
  <c r="C303" i="15" s="1"/>
  <c r="L299" i="15"/>
  <c r="O299" i="15" s="1"/>
  <c r="I299" i="15"/>
  <c r="G299" i="15"/>
  <c r="E299" i="15"/>
  <c r="L297" i="15"/>
  <c r="O297" i="15" s="1"/>
  <c r="I297" i="15"/>
  <c r="G297" i="15"/>
  <c r="E297" i="15"/>
  <c r="L296" i="15"/>
  <c r="O296" i="15" s="1"/>
  <c r="I296" i="15"/>
  <c r="G296" i="15"/>
  <c r="E296" i="15"/>
  <c r="M295" i="15"/>
  <c r="P295" i="15" s="1"/>
  <c r="L295" i="15"/>
  <c r="O295" i="15" s="1"/>
  <c r="I295" i="15"/>
  <c r="G295" i="15"/>
  <c r="E295" i="15"/>
  <c r="M294" i="15"/>
  <c r="P294" i="15" s="1"/>
  <c r="L294" i="15"/>
  <c r="O294" i="15" s="1"/>
  <c r="I294" i="15"/>
  <c r="G294" i="15"/>
  <c r="E294" i="15"/>
  <c r="M293" i="15"/>
  <c r="P293" i="15" s="1"/>
  <c r="L293" i="15"/>
  <c r="O293" i="15" s="1"/>
  <c r="I293" i="15"/>
  <c r="G293" i="15"/>
  <c r="E293" i="15"/>
  <c r="M292" i="15"/>
  <c r="P292" i="15" s="1"/>
  <c r="L292" i="15"/>
  <c r="O292" i="15" s="1"/>
  <c r="I292" i="15"/>
  <c r="G292" i="15"/>
  <c r="E292" i="15"/>
  <c r="M291" i="15"/>
  <c r="P291" i="15" s="1"/>
  <c r="L291" i="15"/>
  <c r="O291" i="15" s="1"/>
  <c r="I291" i="15"/>
  <c r="G291" i="15"/>
  <c r="E291" i="15"/>
  <c r="M290" i="15"/>
  <c r="P290" i="15" s="1"/>
  <c r="L290" i="15"/>
  <c r="O290" i="15" s="1"/>
  <c r="I290" i="15"/>
  <c r="G290" i="15"/>
  <c r="E290" i="15"/>
  <c r="M289" i="15"/>
  <c r="P289" i="15" s="1"/>
  <c r="L289" i="15"/>
  <c r="O289" i="15" s="1"/>
  <c r="AJ8" i="15" s="1"/>
  <c r="I289" i="15"/>
  <c r="G289" i="15"/>
  <c r="E289" i="15"/>
  <c r="M288" i="15"/>
  <c r="P288" i="15" s="1"/>
  <c r="L288" i="15"/>
  <c r="O288" i="15" s="1"/>
  <c r="I288" i="15"/>
  <c r="G288" i="15"/>
  <c r="E288" i="15"/>
  <c r="M287" i="15"/>
  <c r="P287" i="15" s="1"/>
  <c r="L287" i="15"/>
  <c r="O287" i="15" s="1"/>
  <c r="I287" i="15"/>
  <c r="G287" i="15"/>
  <c r="E287" i="15"/>
  <c r="M286" i="15"/>
  <c r="P286" i="15" s="1"/>
  <c r="L286" i="15"/>
  <c r="O286" i="15" s="1"/>
  <c r="I286" i="15"/>
  <c r="G286" i="15"/>
  <c r="E286" i="15"/>
  <c r="C286" i="15"/>
  <c r="C287" i="15" s="1"/>
  <c r="C288" i="15" s="1"/>
  <c r="C289" i="15" s="1"/>
  <c r="C290" i="15" s="1"/>
  <c r="C291" i="15" s="1"/>
  <c r="C292" i="15" s="1"/>
  <c r="C293" i="15" s="1"/>
  <c r="C294" i="15" s="1"/>
  <c r="C295" i="15" s="1"/>
  <c r="C296" i="15" s="1"/>
  <c r="C297" i="15" s="1"/>
  <c r="M285" i="15"/>
  <c r="P285" i="15" s="1"/>
  <c r="L285" i="15"/>
  <c r="O285" i="15" s="1"/>
  <c r="I285" i="15"/>
  <c r="G285" i="15"/>
  <c r="E285" i="15"/>
  <c r="O283" i="15"/>
  <c r="L283" i="15"/>
  <c r="I283" i="15"/>
  <c r="M283" i="15" s="1"/>
  <c r="P283" i="15" s="1"/>
  <c r="G283" i="15"/>
  <c r="E283" i="15"/>
  <c r="O282" i="15"/>
  <c r="L282" i="15"/>
  <c r="I282" i="15"/>
  <c r="M282" i="15" s="1"/>
  <c r="P282" i="15" s="1"/>
  <c r="G282" i="15"/>
  <c r="E282" i="15"/>
  <c r="O281" i="15"/>
  <c r="L281" i="15"/>
  <c r="I281" i="15"/>
  <c r="M281" i="15" s="1"/>
  <c r="P281" i="15" s="1"/>
  <c r="G281" i="15"/>
  <c r="E281" i="15"/>
  <c r="O280" i="15"/>
  <c r="L280" i="15"/>
  <c r="I280" i="15"/>
  <c r="M280" i="15" s="1"/>
  <c r="P280" i="15" s="1"/>
  <c r="G280" i="15"/>
  <c r="E280" i="15"/>
  <c r="O279" i="15"/>
  <c r="L279" i="15"/>
  <c r="I279" i="15"/>
  <c r="M279" i="15" s="1"/>
  <c r="P279" i="15" s="1"/>
  <c r="G279" i="15"/>
  <c r="E279" i="15"/>
  <c r="O278" i="15"/>
  <c r="L278" i="15"/>
  <c r="I278" i="15"/>
  <c r="M278" i="15" s="1"/>
  <c r="P278" i="15" s="1"/>
  <c r="G278" i="15"/>
  <c r="E278" i="15"/>
  <c r="O277" i="15"/>
  <c r="L277" i="15"/>
  <c r="I277" i="15"/>
  <c r="M277" i="15" s="1"/>
  <c r="P277" i="15" s="1"/>
  <c r="G277" i="15"/>
  <c r="E277" i="15"/>
  <c r="O276" i="15"/>
  <c r="L276" i="15"/>
  <c r="I276" i="15"/>
  <c r="M276" i="15" s="1"/>
  <c r="P276" i="15" s="1"/>
  <c r="G276" i="15"/>
  <c r="E276" i="15"/>
  <c r="O275" i="15"/>
  <c r="L275" i="15"/>
  <c r="I275" i="15"/>
  <c r="M275" i="15" s="1"/>
  <c r="P275" i="15" s="1"/>
  <c r="G275" i="15"/>
  <c r="E275" i="15"/>
  <c r="O274" i="15"/>
  <c r="L274" i="15"/>
  <c r="I274" i="15"/>
  <c r="M274" i="15" s="1"/>
  <c r="P274" i="15" s="1"/>
  <c r="G274" i="15"/>
  <c r="E274" i="15"/>
  <c r="O273" i="15"/>
  <c r="L273" i="15"/>
  <c r="I273" i="15"/>
  <c r="M273" i="15" s="1"/>
  <c r="P273" i="15" s="1"/>
  <c r="G273" i="15"/>
  <c r="E273" i="15"/>
  <c r="O272" i="15"/>
  <c r="L272" i="15"/>
  <c r="I272" i="15"/>
  <c r="M272" i="15" s="1"/>
  <c r="P272" i="15" s="1"/>
  <c r="G272" i="15"/>
  <c r="E272" i="15"/>
  <c r="C272" i="15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O271" i="15"/>
  <c r="L271" i="15"/>
  <c r="I271" i="15"/>
  <c r="M271" i="15" s="1"/>
  <c r="P271" i="15" s="1"/>
  <c r="G271" i="15"/>
  <c r="E271" i="15"/>
  <c r="O269" i="15"/>
  <c r="L269" i="15"/>
  <c r="I269" i="15"/>
  <c r="M269" i="15" s="1"/>
  <c r="P269" i="15" s="1"/>
  <c r="G269" i="15"/>
  <c r="E269" i="15"/>
  <c r="O268" i="15"/>
  <c r="L268" i="15"/>
  <c r="I268" i="15"/>
  <c r="M268" i="15" s="1"/>
  <c r="P268" i="15" s="1"/>
  <c r="G268" i="15"/>
  <c r="E268" i="15"/>
  <c r="P267" i="15"/>
  <c r="O267" i="15"/>
  <c r="L267" i="15"/>
  <c r="I267" i="15"/>
  <c r="M267" i="15" s="1"/>
  <c r="G267" i="15"/>
  <c r="E267" i="15"/>
  <c r="L266" i="15"/>
  <c r="O266" i="15" s="1"/>
  <c r="AH13" i="15" s="1"/>
  <c r="I266" i="15"/>
  <c r="M266" i="15" s="1"/>
  <c r="P266" i="15" s="1"/>
  <c r="G266" i="15"/>
  <c r="E266" i="15"/>
  <c r="O265" i="15"/>
  <c r="L265" i="15"/>
  <c r="I265" i="15"/>
  <c r="M265" i="15" s="1"/>
  <c r="P265" i="15" s="1"/>
  <c r="G265" i="15"/>
  <c r="E265" i="15"/>
  <c r="O264" i="15"/>
  <c r="L264" i="15"/>
  <c r="I264" i="15"/>
  <c r="M264" i="15" s="1"/>
  <c r="P264" i="15" s="1"/>
  <c r="G264" i="15"/>
  <c r="E264" i="15"/>
  <c r="P263" i="15"/>
  <c r="O263" i="15"/>
  <c r="L263" i="15"/>
  <c r="I263" i="15"/>
  <c r="M263" i="15" s="1"/>
  <c r="G263" i="15"/>
  <c r="E263" i="15"/>
  <c r="L262" i="15"/>
  <c r="O262" i="15" s="1"/>
  <c r="AH9" i="15" s="1"/>
  <c r="I262" i="15"/>
  <c r="M262" i="15" s="1"/>
  <c r="P262" i="15" s="1"/>
  <c r="G262" i="15"/>
  <c r="E262" i="15"/>
  <c r="O261" i="15"/>
  <c r="L261" i="15"/>
  <c r="I261" i="15"/>
  <c r="M261" i="15" s="1"/>
  <c r="P261" i="15" s="1"/>
  <c r="G261" i="15"/>
  <c r="E261" i="15"/>
  <c r="O260" i="15"/>
  <c r="L260" i="15"/>
  <c r="I260" i="15"/>
  <c r="M260" i="15" s="1"/>
  <c r="P260" i="15" s="1"/>
  <c r="G260" i="15"/>
  <c r="E260" i="15"/>
  <c r="P259" i="15"/>
  <c r="O259" i="15"/>
  <c r="L259" i="15"/>
  <c r="I259" i="15"/>
  <c r="M259" i="15" s="1"/>
  <c r="G259" i="15"/>
  <c r="E259" i="15"/>
  <c r="L258" i="15"/>
  <c r="O258" i="15" s="1"/>
  <c r="AH5" i="15" s="1"/>
  <c r="I258" i="15"/>
  <c r="M258" i="15" s="1"/>
  <c r="P258" i="15" s="1"/>
  <c r="G258" i="15"/>
  <c r="E258" i="15"/>
  <c r="C258" i="15"/>
  <c r="C260" i="15" s="1"/>
  <c r="C259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L257" i="15"/>
  <c r="O257" i="15" s="1"/>
  <c r="AH4" i="15" s="1"/>
  <c r="I257" i="15"/>
  <c r="G257" i="15"/>
  <c r="E257" i="15"/>
  <c r="P255" i="15"/>
  <c r="M255" i="15"/>
  <c r="L255" i="15"/>
  <c r="O255" i="15" s="1"/>
  <c r="I255" i="15"/>
  <c r="G255" i="15"/>
  <c r="E255" i="15"/>
  <c r="M254" i="15"/>
  <c r="P254" i="15" s="1"/>
  <c r="L254" i="15"/>
  <c r="O254" i="15" s="1"/>
  <c r="I254" i="15"/>
  <c r="G254" i="15"/>
  <c r="E254" i="15"/>
  <c r="P253" i="15"/>
  <c r="M253" i="15"/>
  <c r="L253" i="15"/>
  <c r="O253" i="15" s="1"/>
  <c r="I253" i="15"/>
  <c r="G253" i="15"/>
  <c r="E253" i="15"/>
  <c r="M252" i="15"/>
  <c r="P252" i="15" s="1"/>
  <c r="L252" i="15"/>
  <c r="O252" i="15" s="1"/>
  <c r="I252" i="15"/>
  <c r="G252" i="15"/>
  <c r="E252" i="15"/>
  <c r="C252" i="15"/>
  <c r="C253" i="15" s="1"/>
  <c r="C254" i="15" s="1"/>
  <c r="C255" i="15" s="1"/>
  <c r="P251" i="15"/>
  <c r="M251" i="15"/>
  <c r="L251" i="15"/>
  <c r="O251" i="15" s="1"/>
  <c r="I251" i="15"/>
  <c r="G251" i="15"/>
  <c r="E251" i="15"/>
  <c r="P250" i="15"/>
  <c r="M250" i="15"/>
  <c r="L250" i="15"/>
  <c r="O250" i="15" s="1"/>
  <c r="I250" i="15"/>
  <c r="G250" i="15"/>
  <c r="E250" i="15"/>
  <c r="M249" i="15"/>
  <c r="P249" i="15" s="1"/>
  <c r="L249" i="15"/>
  <c r="O249" i="15" s="1"/>
  <c r="I249" i="15"/>
  <c r="G249" i="15"/>
  <c r="E249" i="15"/>
  <c r="M248" i="15"/>
  <c r="P248" i="15" s="1"/>
  <c r="L248" i="15"/>
  <c r="O248" i="15" s="1"/>
  <c r="AG9" i="15" s="1"/>
  <c r="I248" i="15"/>
  <c r="G248" i="15"/>
  <c r="E248" i="15"/>
  <c r="P247" i="15"/>
  <c r="M247" i="15"/>
  <c r="L247" i="15"/>
  <c r="O247" i="15" s="1"/>
  <c r="I247" i="15"/>
  <c r="G247" i="15"/>
  <c r="E247" i="15"/>
  <c r="M246" i="15"/>
  <c r="P246" i="15" s="1"/>
  <c r="L246" i="15"/>
  <c r="O246" i="15" s="1"/>
  <c r="I246" i="15"/>
  <c r="G246" i="15"/>
  <c r="E246" i="15"/>
  <c r="P245" i="15"/>
  <c r="M245" i="15"/>
  <c r="L245" i="15"/>
  <c r="O245" i="15" s="1"/>
  <c r="I245" i="15"/>
  <c r="G245" i="15"/>
  <c r="E245" i="15"/>
  <c r="M244" i="15"/>
  <c r="P244" i="15" s="1"/>
  <c r="L244" i="15"/>
  <c r="O244" i="15" s="1"/>
  <c r="I244" i="15"/>
  <c r="G244" i="15"/>
  <c r="E244" i="15"/>
  <c r="C244" i="15"/>
  <c r="C245" i="15" s="1"/>
  <c r="C246" i="15" s="1"/>
  <c r="C247" i="15" s="1"/>
  <c r="C248" i="15" s="1"/>
  <c r="C249" i="15" s="1"/>
  <c r="C250" i="15" s="1"/>
  <c r="C251" i="15" s="1"/>
  <c r="P243" i="15"/>
  <c r="M243" i="15"/>
  <c r="L243" i="15"/>
  <c r="O243" i="15" s="1"/>
  <c r="I243" i="15"/>
  <c r="G243" i="15"/>
  <c r="E243" i="15"/>
  <c r="O241" i="15"/>
  <c r="AF16" i="15" s="1"/>
  <c r="M241" i="15"/>
  <c r="P241" i="15" s="1"/>
  <c r="L241" i="15"/>
  <c r="I241" i="15"/>
  <c r="G241" i="15"/>
  <c r="E241" i="15"/>
  <c r="O240" i="15"/>
  <c r="M240" i="15"/>
  <c r="P240" i="15" s="1"/>
  <c r="L240" i="15"/>
  <c r="I240" i="15"/>
  <c r="G240" i="15"/>
  <c r="E240" i="15"/>
  <c r="O239" i="15"/>
  <c r="M239" i="15"/>
  <c r="P239" i="15" s="1"/>
  <c r="L239" i="15"/>
  <c r="I239" i="15"/>
  <c r="G239" i="15"/>
  <c r="E239" i="15"/>
  <c r="O238" i="15"/>
  <c r="M238" i="15"/>
  <c r="P238" i="15" s="1"/>
  <c r="L238" i="15"/>
  <c r="I238" i="15"/>
  <c r="G238" i="15"/>
  <c r="E238" i="15"/>
  <c r="O237" i="15"/>
  <c r="M237" i="15"/>
  <c r="P237" i="15" s="1"/>
  <c r="L237" i="15"/>
  <c r="I237" i="15"/>
  <c r="G237" i="15"/>
  <c r="E237" i="15"/>
  <c r="O236" i="15"/>
  <c r="M236" i="15"/>
  <c r="P236" i="15" s="1"/>
  <c r="L236" i="15"/>
  <c r="I236" i="15"/>
  <c r="G236" i="15"/>
  <c r="E236" i="15"/>
  <c r="O235" i="15"/>
  <c r="M235" i="15"/>
  <c r="P235" i="15" s="1"/>
  <c r="L235" i="15"/>
  <c r="I235" i="15"/>
  <c r="G235" i="15"/>
  <c r="E235" i="15"/>
  <c r="O234" i="15"/>
  <c r="M234" i="15"/>
  <c r="P234" i="15" s="1"/>
  <c r="L234" i="15"/>
  <c r="I234" i="15"/>
  <c r="G234" i="15"/>
  <c r="E234" i="15"/>
  <c r="O233" i="15"/>
  <c r="AF8" i="15" s="1"/>
  <c r="M233" i="15"/>
  <c r="P233" i="15" s="1"/>
  <c r="L233" i="15"/>
  <c r="I233" i="15"/>
  <c r="G233" i="15"/>
  <c r="E233" i="15"/>
  <c r="O232" i="15"/>
  <c r="M232" i="15"/>
  <c r="P232" i="15" s="1"/>
  <c r="L232" i="15"/>
  <c r="I232" i="15"/>
  <c r="G232" i="15"/>
  <c r="E232" i="15"/>
  <c r="O231" i="15"/>
  <c r="L231" i="15"/>
  <c r="I231" i="15"/>
  <c r="M231" i="15" s="1"/>
  <c r="P231" i="15" s="1"/>
  <c r="G231" i="15"/>
  <c r="E231" i="15"/>
  <c r="O230" i="15"/>
  <c r="L230" i="15"/>
  <c r="I230" i="15"/>
  <c r="M230" i="15" s="1"/>
  <c r="P230" i="15" s="1"/>
  <c r="G230" i="15"/>
  <c r="E230" i="15"/>
  <c r="C230" i="15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O229" i="15"/>
  <c r="L229" i="15"/>
  <c r="I229" i="15"/>
  <c r="M229" i="15" s="1"/>
  <c r="P229" i="15" s="1"/>
  <c r="G229" i="15"/>
  <c r="E229" i="15"/>
  <c r="I227" i="15"/>
  <c r="G227" i="15"/>
  <c r="E227" i="15"/>
  <c r="I226" i="15"/>
  <c r="G226" i="15"/>
  <c r="E226" i="15"/>
  <c r="I225" i="15"/>
  <c r="G225" i="15"/>
  <c r="E225" i="15"/>
  <c r="I224" i="15"/>
  <c r="G224" i="15"/>
  <c r="E224" i="15"/>
  <c r="I223" i="15"/>
  <c r="G223" i="15"/>
  <c r="E223" i="15"/>
  <c r="I222" i="15"/>
  <c r="G222" i="15"/>
  <c r="E222" i="15"/>
  <c r="I221" i="15"/>
  <c r="G221" i="15"/>
  <c r="E221" i="15"/>
  <c r="I220" i="15"/>
  <c r="G220" i="15"/>
  <c r="E220" i="15"/>
  <c r="I219" i="15"/>
  <c r="G219" i="15"/>
  <c r="E219" i="15"/>
  <c r="I218" i="15"/>
  <c r="G218" i="15"/>
  <c r="E218" i="15"/>
  <c r="I217" i="15"/>
  <c r="G217" i="15"/>
  <c r="E217" i="15"/>
  <c r="C217" i="15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I216" i="15"/>
  <c r="G216" i="15"/>
  <c r="E216" i="15"/>
  <c r="C216" i="15"/>
  <c r="I215" i="15"/>
  <c r="G215" i="15"/>
  <c r="E215" i="15"/>
  <c r="B214" i="15"/>
  <c r="B228" i="15" s="1"/>
  <c r="B242" i="15" s="1"/>
  <c r="I213" i="15"/>
  <c r="G213" i="15"/>
  <c r="E213" i="15"/>
  <c r="I212" i="15"/>
  <c r="G212" i="15"/>
  <c r="E212" i="15"/>
  <c r="C212" i="15"/>
  <c r="C213" i="15" s="1"/>
  <c r="I211" i="15"/>
  <c r="G211" i="15"/>
  <c r="E211" i="15"/>
  <c r="I210" i="15"/>
  <c r="G210" i="15"/>
  <c r="E210" i="15"/>
  <c r="I209" i="15"/>
  <c r="G209" i="15"/>
  <c r="E209" i="15"/>
  <c r="I208" i="15"/>
  <c r="G208" i="15"/>
  <c r="E208" i="15"/>
  <c r="I207" i="15"/>
  <c r="G207" i="15"/>
  <c r="E207" i="15"/>
  <c r="I206" i="15"/>
  <c r="G206" i="15"/>
  <c r="E206" i="15"/>
  <c r="I205" i="15"/>
  <c r="G205" i="15"/>
  <c r="E205" i="15"/>
  <c r="I204" i="15"/>
  <c r="G204" i="15"/>
  <c r="E204" i="15"/>
  <c r="I203" i="15"/>
  <c r="G203" i="15"/>
  <c r="E203" i="15"/>
  <c r="C203" i="15"/>
  <c r="C204" i="15" s="1"/>
  <c r="C205" i="15" s="1"/>
  <c r="C206" i="15" s="1"/>
  <c r="C207" i="15" s="1"/>
  <c r="C208" i="15" s="1"/>
  <c r="C209" i="15" s="1"/>
  <c r="C210" i="15" s="1"/>
  <c r="C211" i="15" s="1"/>
  <c r="I202" i="15"/>
  <c r="G202" i="15"/>
  <c r="E202" i="15"/>
  <c r="C202" i="15"/>
  <c r="I201" i="15"/>
  <c r="G201" i="15"/>
  <c r="E201" i="15"/>
  <c r="B200" i="15"/>
  <c r="O199" i="15"/>
  <c r="L199" i="15"/>
  <c r="I199" i="15"/>
  <c r="M199" i="15" s="1"/>
  <c r="P199" i="15" s="1"/>
  <c r="G199" i="15"/>
  <c r="E199" i="15"/>
  <c r="O198" i="15"/>
  <c r="L198" i="15"/>
  <c r="I198" i="15"/>
  <c r="M198" i="15" s="1"/>
  <c r="P198" i="15" s="1"/>
  <c r="G198" i="15"/>
  <c r="E198" i="15"/>
  <c r="O197" i="15"/>
  <c r="L197" i="15"/>
  <c r="I197" i="15"/>
  <c r="M197" i="15" s="1"/>
  <c r="P197" i="15" s="1"/>
  <c r="G197" i="15"/>
  <c r="E197" i="15"/>
  <c r="O196" i="15"/>
  <c r="L196" i="15"/>
  <c r="I196" i="15"/>
  <c r="M196" i="15" s="1"/>
  <c r="P196" i="15" s="1"/>
  <c r="G196" i="15"/>
  <c r="E196" i="15"/>
  <c r="O195" i="15"/>
  <c r="L195" i="15"/>
  <c r="I195" i="15"/>
  <c r="M195" i="15" s="1"/>
  <c r="P195" i="15" s="1"/>
  <c r="G195" i="15"/>
  <c r="E195" i="15"/>
  <c r="O194" i="15"/>
  <c r="L194" i="15"/>
  <c r="I194" i="15"/>
  <c r="M194" i="15" s="1"/>
  <c r="P194" i="15" s="1"/>
  <c r="G194" i="15"/>
  <c r="E194" i="15"/>
  <c r="O193" i="15"/>
  <c r="L193" i="15"/>
  <c r="I193" i="15"/>
  <c r="M193" i="15" s="1"/>
  <c r="P193" i="15" s="1"/>
  <c r="G193" i="15"/>
  <c r="E193" i="15"/>
  <c r="O192" i="15"/>
  <c r="L192" i="15"/>
  <c r="I192" i="15"/>
  <c r="M192" i="15" s="1"/>
  <c r="P192" i="15" s="1"/>
  <c r="G192" i="15"/>
  <c r="E192" i="15"/>
  <c r="O191" i="15"/>
  <c r="L191" i="15"/>
  <c r="I191" i="15"/>
  <c r="M191" i="15" s="1"/>
  <c r="P191" i="15" s="1"/>
  <c r="G191" i="15"/>
  <c r="E191" i="15"/>
  <c r="O190" i="15"/>
  <c r="L190" i="15"/>
  <c r="I190" i="15"/>
  <c r="M190" i="15" s="1"/>
  <c r="P190" i="15" s="1"/>
  <c r="G190" i="15"/>
  <c r="E190" i="15"/>
  <c r="O189" i="15"/>
  <c r="L189" i="15"/>
  <c r="I189" i="15"/>
  <c r="M189" i="15" s="1"/>
  <c r="P189" i="15" s="1"/>
  <c r="G189" i="15"/>
  <c r="E189" i="15"/>
  <c r="O188" i="15"/>
  <c r="L188" i="15"/>
  <c r="I188" i="15"/>
  <c r="M188" i="15" s="1"/>
  <c r="P188" i="15" s="1"/>
  <c r="G188" i="15"/>
  <c r="E188" i="15"/>
  <c r="C188" i="15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O187" i="15"/>
  <c r="L187" i="15"/>
  <c r="K187" i="15"/>
  <c r="I187" i="15"/>
  <c r="M187" i="15" s="1"/>
  <c r="P187" i="15" s="1"/>
  <c r="G187" i="15"/>
  <c r="E187" i="15"/>
  <c r="B186" i="15"/>
  <c r="I185" i="15"/>
  <c r="G185" i="15"/>
  <c r="E185" i="15"/>
  <c r="I184" i="15"/>
  <c r="G184" i="15"/>
  <c r="E184" i="15"/>
  <c r="I183" i="15"/>
  <c r="G183" i="15"/>
  <c r="E183" i="15"/>
  <c r="I182" i="15"/>
  <c r="G182" i="15"/>
  <c r="E182" i="15"/>
  <c r="I181" i="15"/>
  <c r="G181" i="15"/>
  <c r="E181" i="15"/>
  <c r="I180" i="15"/>
  <c r="G180" i="15"/>
  <c r="E180" i="15"/>
  <c r="I179" i="15"/>
  <c r="G179" i="15"/>
  <c r="E179" i="15"/>
  <c r="C179" i="15"/>
  <c r="C180" i="15" s="1"/>
  <c r="C181" i="15" s="1"/>
  <c r="C182" i="15" s="1"/>
  <c r="C183" i="15" s="1"/>
  <c r="C184" i="15" s="1"/>
  <c r="C185" i="15" s="1"/>
  <c r="I178" i="15"/>
  <c r="G178" i="15"/>
  <c r="E178" i="15"/>
  <c r="I177" i="15"/>
  <c r="G177" i="15"/>
  <c r="E177" i="15"/>
  <c r="I176" i="15"/>
  <c r="G176" i="15"/>
  <c r="E176" i="15"/>
  <c r="I175" i="15"/>
  <c r="G175" i="15"/>
  <c r="E175" i="15"/>
  <c r="C175" i="15"/>
  <c r="C176" i="15" s="1"/>
  <c r="C177" i="15" s="1"/>
  <c r="C178" i="15" s="1"/>
  <c r="I174" i="15"/>
  <c r="G174" i="15"/>
  <c r="E174" i="15"/>
  <c r="C174" i="15"/>
  <c r="I173" i="15"/>
  <c r="G173" i="15"/>
  <c r="E173" i="15"/>
  <c r="I171" i="15"/>
  <c r="G171" i="15"/>
  <c r="E171" i="15"/>
  <c r="I170" i="15"/>
  <c r="G170" i="15"/>
  <c r="E170" i="15"/>
  <c r="I169" i="15"/>
  <c r="G169" i="15"/>
  <c r="E169" i="15"/>
  <c r="I168" i="15"/>
  <c r="G168" i="15"/>
  <c r="E168" i="15"/>
  <c r="I167" i="15"/>
  <c r="G167" i="15"/>
  <c r="E167" i="15"/>
  <c r="I166" i="15"/>
  <c r="G166" i="15"/>
  <c r="E166" i="15"/>
  <c r="I165" i="15"/>
  <c r="G165" i="15"/>
  <c r="E165" i="15"/>
  <c r="I164" i="15"/>
  <c r="G164" i="15"/>
  <c r="E164" i="15"/>
  <c r="I163" i="15"/>
  <c r="G163" i="15"/>
  <c r="E163" i="15"/>
  <c r="I162" i="15"/>
  <c r="G162" i="15"/>
  <c r="E162" i="15"/>
  <c r="I161" i="15"/>
  <c r="G161" i="15"/>
  <c r="E161" i="15"/>
  <c r="C161" i="15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I160" i="15"/>
  <c r="G160" i="15"/>
  <c r="E160" i="15"/>
  <c r="C160" i="15"/>
  <c r="I159" i="15"/>
  <c r="G159" i="15"/>
  <c r="E159" i="15"/>
  <c r="I157" i="15"/>
  <c r="G157" i="15"/>
  <c r="E157" i="15"/>
  <c r="I156" i="15"/>
  <c r="G156" i="15"/>
  <c r="E156" i="15"/>
  <c r="I155" i="15"/>
  <c r="G155" i="15"/>
  <c r="E155" i="15"/>
  <c r="I154" i="15"/>
  <c r="G154" i="15"/>
  <c r="E154" i="15"/>
  <c r="I153" i="15"/>
  <c r="G153" i="15"/>
  <c r="E153" i="15"/>
  <c r="I152" i="15"/>
  <c r="G152" i="15"/>
  <c r="E152" i="15"/>
  <c r="I151" i="15"/>
  <c r="G151" i="15"/>
  <c r="E151" i="15"/>
  <c r="I150" i="15"/>
  <c r="G150" i="15"/>
  <c r="E150" i="15"/>
  <c r="I149" i="15"/>
  <c r="G149" i="15"/>
  <c r="E149" i="15"/>
  <c r="I148" i="15"/>
  <c r="G148" i="15"/>
  <c r="E148" i="15"/>
  <c r="I147" i="15"/>
  <c r="G147" i="15"/>
  <c r="E147" i="15"/>
  <c r="I146" i="15"/>
  <c r="G146" i="15"/>
  <c r="E146" i="15"/>
  <c r="C146" i="15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I145" i="15"/>
  <c r="G145" i="15"/>
  <c r="E145" i="15"/>
  <c r="I143" i="15"/>
  <c r="G143" i="15"/>
  <c r="E143" i="15"/>
  <c r="I142" i="15"/>
  <c r="G142" i="15"/>
  <c r="E142" i="15"/>
  <c r="I141" i="15"/>
  <c r="G141" i="15"/>
  <c r="E141" i="15"/>
  <c r="I140" i="15"/>
  <c r="G140" i="15"/>
  <c r="E140" i="15"/>
  <c r="I139" i="15"/>
  <c r="G139" i="15"/>
  <c r="E139" i="15"/>
  <c r="I138" i="15"/>
  <c r="G138" i="15"/>
  <c r="E138" i="15"/>
  <c r="I137" i="15"/>
  <c r="G137" i="15"/>
  <c r="E137" i="15"/>
  <c r="I136" i="15"/>
  <c r="G136" i="15"/>
  <c r="E136" i="15"/>
  <c r="I135" i="15"/>
  <c r="G135" i="15"/>
  <c r="E135" i="15"/>
  <c r="I134" i="15"/>
  <c r="G134" i="15"/>
  <c r="E134" i="15"/>
  <c r="I133" i="15"/>
  <c r="G133" i="15"/>
  <c r="E133" i="15"/>
  <c r="C133" i="15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I132" i="15"/>
  <c r="G132" i="15"/>
  <c r="E132" i="15"/>
  <c r="C132" i="15"/>
  <c r="I131" i="15"/>
  <c r="G131" i="15"/>
  <c r="E131" i="15"/>
  <c r="I129" i="15"/>
  <c r="G129" i="15"/>
  <c r="E129" i="15"/>
  <c r="I128" i="15"/>
  <c r="G128" i="15"/>
  <c r="E128" i="15"/>
  <c r="I127" i="15"/>
  <c r="G127" i="15"/>
  <c r="E127" i="15"/>
  <c r="I126" i="15"/>
  <c r="G126" i="15"/>
  <c r="E126" i="15"/>
  <c r="I125" i="15"/>
  <c r="G125" i="15"/>
  <c r="E125" i="15"/>
  <c r="I124" i="15"/>
  <c r="G124" i="15"/>
  <c r="E124" i="15"/>
  <c r="I123" i="15"/>
  <c r="G123" i="15"/>
  <c r="E123" i="15"/>
  <c r="I122" i="15"/>
  <c r="G122" i="15"/>
  <c r="E122" i="15"/>
  <c r="I121" i="15"/>
  <c r="G121" i="15"/>
  <c r="E121" i="15"/>
  <c r="I120" i="15"/>
  <c r="G120" i="15"/>
  <c r="E120" i="15"/>
  <c r="C120" i="15"/>
  <c r="C121" i="15" s="1"/>
  <c r="C122" i="15" s="1"/>
  <c r="C123" i="15" s="1"/>
  <c r="C124" i="15" s="1"/>
  <c r="C125" i="15" s="1"/>
  <c r="C126" i="15" s="1"/>
  <c r="C127" i="15" s="1"/>
  <c r="C128" i="15" s="1"/>
  <c r="C129" i="15" s="1"/>
  <c r="I119" i="15"/>
  <c r="G119" i="15"/>
  <c r="E119" i="15"/>
  <c r="I118" i="15"/>
  <c r="G118" i="15"/>
  <c r="E118" i="15"/>
  <c r="C118" i="15"/>
  <c r="C119" i="15" s="1"/>
  <c r="I117" i="15"/>
  <c r="G117" i="15"/>
  <c r="E117" i="15"/>
  <c r="I115" i="15"/>
  <c r="G115" i="15"/>
  <c r="E115" i="15"/>
  <c r="I114" i="15"/>
  <c r="G114" i="15"/>
  <c r="E114" i="15"/>
  <c r="I113" i="15"/>
  <c r="G113" i="15"/>
  <c r="E113" i="15"/>
  <c r="I112" i="15"/>
  <c r="G112" i="15"/>
  <c r="E112" i="15"/>
  <c r="I111" i="15"/>
  <c r="G111" i="15"/>
  <c r="E111" i="15"/>
  <c r="I110" i="15"/>
  <c r="G110" i="15"/>
  <c r="E110" i="15"/>
  <c r="I109" i="15"/>
  <c r="G109" i="15"/>
  <c r="E109" i="15"/>
  <c r="I108" i="15"/>
  <c r="G108" i="15"/>
  <c r="E108" i="15"/>
  <c r="I107" i="15"/>
  <c r="G107" i="15"/>
  <c r="E107" i="15"/>
  <c r="I106" i="15"/>
  <c r="G106" i="15"/>
  <c r="E106" i="15"/>
  <c r="I105" i="15"/>
  <c r="G105" i="15"/>
  <c r="E105" i="15"/>
  <c r="I104" i="15"/>
  <c r="G104" i="15"/>
  <c r="E104" i="15"/>
  <c r="C104" i="15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I103" i="15"/>
  <c r="G103" i="15"/>
  <c r="E103" i="15"/>
  <c r="I101" i="15"/>
  <c r="G101" i="15"/>
  <c r="E101" i="15"/>
  <c r="I100" i="15"/>
  <c r="G100" i="15"/>
  <c r="E100" i="15"/>
  <c r="I99" i="15"/>
  <c r="G99" i="15"/>
  <c r="E99" i="15"/>
  <c r="I98" i="15"/>
  <c r="G98" i="15"/>
  <c r="E98" i="15"/>
  <c r="I97" i="15"/>
  <c r="G97" i="15"/>
  <c r="E97" i="15"/>
  <c r="I96" i="15"/>
  <c r="G96" i="15"/>
  <c r="E96" i="15"/>
  <c r="I95" i="15"/>
  <c r="G95" i="15"/>
  <c r="E95" i="15"/>
  <c r="I94" i="15"/>
  <c r="G94" i="15"/>
  <c r="E94" i="15"/>
  <c r="I93" i="15"/>
  <c r="G93" i="15"/>
  <c r="E93" i="15"/>
  <c r="I92" i="15"/>
  <c r="G92" i="15"/>
  <c r="E92" i="15"/>
  <c r="I91" i="15"/>
  <c r="G91" i="15"/>
  <c r="E91" i="15"/>
  <c r="C91" i="15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I90" i="15"/>
  <c r="G90" i="15"/>
  <c r="E90" i="15"/>
  <c r="C90" i="15"/>
  <c r="I89" i="15"/>
  <c r="G89" i="15"/>
  <c r="E89" i="15"/>
  <c r="I87" i="15"/>
  <c r="G87" i="15"/>
  <c r="E87" i="15"/>
  <c r="I86" i="15"/>
  <c r="G86" i="15"/>
  <c r="E86" i="15"/>
  <c r="I85" i="15"/>
  <c r="G85" i="15"/>
  <c r="E85" i="15"/>
  <c r="I84" i="15"/>
  <c r="G84" i="15"/>
  <c r="E84" i="15"/>
  <c r="I83" i="15"/>
  <c r="G83" i="15"/>
  <c r="E83" i="15"/>
  <c r="I82" i="15"/>
  <c r="G82" i="15"/>
  <c r="E82" i="15"/>
  <c r="I81" i="15"/>
  <c r="G81" i="15"/>
  <c r="E81" i="15"/>
  <c r="I80" i="15"/>
  <c r="G80" i="15"/>
  <c r="E80" i="15"/>
  <c r="I79" i="15"/>
  <c r="G79" i="15"/>
  <c r="E79" i="15"/>
  <c r="I78" i="15"/>
  <c r="G78" i="15"/>
  <c r="E78" i="15"/>
  <c r="I77" i="15"/>
  <c r="G77" i="15"/>
  <c r="E77" i="15"/>
  <c r="I76" i="15"/>
  <c r="G76" i="15"/>
  <c r="E76" i="15"/>
  <c r="C76" i="15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I75" i="15"/>
  <c r="G75" i="15"/>
  <c r="E75" i="15"/>
  <c r="I73" i="15"/>
  <c r="G73" i="15"/>
  <c r="E73" i="15"/>
  <c r="I72" i="15"/>
  <c r="G72" i="15"/>
  <c r="E72" i="15"/>
  <c r="I71" i="15"/>
  <c r="G71" i="15"/>
  <c r="E71" i="15"/>
  <c r="C71" i="15"/>
  <c r="C72" i="15" s="1"/>
  <c r="C73" i="15" s="1"/>
  <c r="I70" i="15"/>
  <c r="G70" i="15"/>
  <c r="E70" i="15"/>
  <c r="I69" i="15"/>
  <c r="G69" i="15"/>
  <c r="E69" i="15"/>
  <c r="I68" i="15"/>
  <c r="G68" i="15"/>
  <c r="E68" i="15"/>
  <c r="I67" i="15"/>
  <c r="G67" i="15"/>
  <c r="E67" i="15"/>
  <c r="C67" i="15"/>
  <c r="C68" i="15" s="1"/>
  <c r="C69" i="15" s="1"/>
  <c r="C70" i="15" s="1"/>
  <c r="I66" i="15"/>
  <c r="G66" i="15"/>
  <c r="E66" i="15"/>
  <c r="I65" i="15"/>
  <c r="G65" i="15"/>
  <c r="E65" i="15"/>
  <c r="C65" i="15"/>
  <c r="C66" i="15" s="1"/>
  <c r="I64" i="15"/>
  <c r="G64" i="15"/>
  <c r="E64" i="15"/>
  <c r="I63" i="15"/>
  <c r="G63" i="15"/>
  <c r="E63" i="15"/>
  <c r="C63" i="15"/>
  <c r="C64" i="15" s="1"/>
  <c r="I62" i="15"/>
  <c r="G62" i="15"/>
  <c r="E62" i="15"/>
  <c r="C62" i="15"/>
  <c r="I61" i="15"/>
  <c r="G61" i="15"/>
  <c r="E61" i="15"/>
  <c r="I60" i="15"/>
  <c r="I59" i="15"/>
  <c r="G59" i="15"/>
  <c r="E59" i="15"/>
  <c r="I58" i="15"/>
  <c r="G58" i="15"/>
  <c r="E58" i="15"/>
  <c r="I57" i="15"/>
  <c r="G57" i="15"/>
  <c r="E57" i="15"/>
  <c r="I56" i="15"/>
  <c r="G56" i="15"/>
  <c r="E56" i="15"/>
  <c r="I55" i="15"/>
  <c r="G55" i="15"/>
  <c r="E55" i="15"/>
  <c r="I54" i="15"/>
  <c r="G54" i="15"/>
  <c r="E54" i="15"/>
  <c r="I53" i="15"/>
  <c r="G53" i="15"/>
  <c r="E53" i="15"/>
  <c r="I52" i="15"/>
  <c r="G52" i="15"/>
  <c r="E52" i="15"/>
  <c r="C52" i="15"/>
  <c r="C53" i="15" s="1"/>
  <c r="C54" i="15" s="1"/>
  <c r="C55" i="15" s="1"/>
  <c r="C56" i="15" s="1"/>
  <c r="C57" i="15" s="1"/>
  <c r="C58" i="15" s="1"/>
  <c r="C59" i="15" s="1"/>
  <c r="I51" i="15"/>
  <c r="G51" i="15"/>
  <c r="E51" i="15"/>
  <c r="I50" i="15"/>
  <c r="G50" i="15"/>
  <c r="E50" i="15"/>
  <c r="C50" i="15"/>
  <c r="C51" i="15" s="1"/>
  <c r="I49" i="15"/>
  <c r="G49" i="15"/>
  <c r="E49" i="15"/>
  <c r="C49" i="15"/>
  <c r="I48" i="15"/>
  <c r="G48" i="15"/>
  <c r="E48" i="15"/>
  <c r="C48" i="15"/>
  <c r="AA47" i="15"/>
  <c r="Z47" i="15"/>
  <c r="Y47" i="15"/>
  <c r="X47" i="15"/>
  <c r="I47" i="15"/>
  <c r="G47" i="15"/>
  <c r="E47" i="15"/>
  <c r="AF46" i="15"/>
  <c r="Z46" i="15"/>
  <c r="AC46" i="15" s="1"/>
  <c r="AC48" i="15" s="1"/>
  <c r="AG48" i="15" s="1"/>
  <c r="Y46" i="15"/>
  <c r="AA46" i="15" s="1"/>
  <c r="AG46" i="15" s="1"/>
  <c r="X46" i="15"/>
  <c r="I45" i="15"/>
  <c r="G45" i="15"/>
  <c r="E45" i="15"/>
  <c r="I44" i="15"/>
  <c r="G44" i="15"/>
  <c r="E44" i="15"/>
  <c r="I43" i="15"/>
  <c r="G43" i="15"/>
  <c r="E43" i="15"/>
  <c r="Y42" i="15"/>
  <c r="AA42" i="15" s="1"/>
  <c r="X42" i="15"/>
  <c r="Z42" i="15" s="1"/>
  <c r="I42" i="15"/>
  <c r="G42" i="15"/>
  <c r="E42" i="15"/>
  <c r="AA41" i="15"/>
  <c r="Z41" i="15"/>
  <c r="Y41" i="15"/>
  <c r="X41" i="15"/>
  <c r="I41" i="15"/>
  <c r="G41" i="15"/>
  <c r="E41" i="15"/>
  <c r="I40" i="15"/>
  <c r="G40" i="15"/>
  <c r="E40" i="15"/>
  <c r="I39" i="15"/>
  <c r="G39" i="15"/>
  <c r="E39" i="15"/>
  <c r="U38" i="15"/>
  <c r="I38" i="15"/>
  <c r="G38" i="15"/>
  <c r="E38" i="15"/>
  <c r="AA37" i="15"/>
  <c r="I37" i="15"/>
  <c r="G37" i="15"/>
  <c r="E37" i="15"/>
  <c r="AA36" i="15"/>
  <c r="I36" i="15"/>
  <c r="G36" i="15"/>
  <c r="E36" i="15"/>
  <c r="I35" i="15"/>
  <c r="G35" i="15"/>
  <c r="E35" i="15"/>
  <c r="C35" i="15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I34" i="15"/>
  <c r="G34" i="15"/>
  <c r="E34" i="15"/>
  <c r="C34" i="15"/>
  <c r="I33" i="15"/>
  <c r="G33" i="15"/>
  <c r="E33" i="15"/>
  <c r="AA31" i="15"/>
  <c r="Z31" i="15"/>
  <c r="Y31" i="15"/>
  <c r="X31" i="15"/>
  <c r="I31" i="15"/>
  <c r="G31" i="15"/>
  <c r="E31" i="15"/>
  <c r="Y30" i="15"/>
  <c r="AA30" i="15" s="1"/>
  <c r="X30" i="15"/>
  <c r="Z30" i="15" s="1"/>
  <c r="I30" i="15"/>
  <c r="G30" i="15"/>
  <c r="E30" i="15"/>
  <c r="I29" i="15"/>
  <c r="G29" i="15"/>
  <c r="E29" i="15"/>
  <c r="I28" i="15"/>
  <c r="G28" i="15"/>
  <c r="E28" i="15"/>
  <c r="I27" i="15"/>
  <c r="G27" i="15"/>
  <c r="E27" i="15"/>
  <c r="AA26" i="15"/>
  <c r="Z26" i="15"/>
  <c r="Y26" i="15"/>
  <c r="X26" i="15"/>
  <c r="I26" i="15"/>
  <c r="G26" i="15"/>
  <c r="E26" i="15"/>
  <c r="C26" i="15"/>
  <c r="C27" i="15" s="1"/>
  <c r="C28" i="15" s="1"/>
  <c r="C29" i="15" s="1"/>
  <c r="C30" i="15" s="1"/>
  <c r="C31" i="15" s="1"/>
  <c r="Y25" i="15"/>
  <c r="AA25" i="15" s="1"/>
  <c r="X25" i="15"/>
  <c r="Z25" i="15" s="1"/>
  <c r="AC26" i="15" s="1"/>
  <c r="AC28" i="15" s="1"/>
  <c r="AG28" i="15" s="1"/>
  <c r="I25" i="15"/>
  <c r="G25" i="15"/>
  <c r="E25" i="15"/>
  <c r="I24" i="15"/>
  <c r="G24" i="15"/>
  <c r="E24" i="15"/>
  <c r="I23" i="15"/>
  <c r="G23" i="15"/>
  <c r="E23" i="15"/>
  <c r="I22" i="15"/>
  <c r="G22" i="15"/>
  <c r="E22" i="15"/>
  <c r="I21" i="15"/>
  <c r="G21" i="15"/>
  <c r="E21" i="15"/>
  <c r="I20" i="15"/>
  <c r="G20" i="15"/>
  <c r="E20" i="15"/>
  <c r="C20" i="15"/>
  <c r="C21" i="15" s="1"/>
  <c r="C22" i="15" s="1"/>
  <c r="C23" i="15" s="1"/>
  <c r="C24" i="15" s="1"/>
  <c r="C25" i="15" s="1"/>
  <c r="I19" i="15"/>
  <c r="G19" i="15"/>
  <c r="E19" i="15"/>
  <c r="I17" i="15"/>
  <c r="G17" i="15"/>
  <c r="E17" i="15"/>
  <c r="AN16" i="15"/>
  <c r="AM16" i="15"/>
  <c r="AL16" i="15"/>
  <c r="AK16" i="15"/>
  <c r="AJ16" i="15"/>
  <c r="AI16" i="15"/>
  <c r="AH16" i="15"/>
  <c r="AG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I16" i="15"/>
  <c r="G16" i="15"/>
  <c r="E16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I15" i="15"/>
  <c r="G15" i="15"/>
  <c r="E15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I14" i="15"/>
  <c r="G14" i="15"/>
  <c r="E14" i="15"/>
  <c r="AN13" i="15"/>
  <c r="AM13" i="15"/>
  <c r="AL13" i="15"/>
  <c r="AJ13" i="15"/>
  <c r="AI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I13" i="15"/>
  <c r="G13" i="15"/>
  <c r="E13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I12" i="15"/>
  <c r="G12" i="15"/>
  <c r="E12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O12" i="15" s="1"/>
  <c r="O13" i="15" s="1"/>
  <c r="O14" i="15" s="1"/>
  <c r="O15" i="15" s="1"/>
  <c r="O16" i="15" s="1"/>
  <c r="I11" i="15"/>
  <c r="G11" i="15"/>
  <c r="E11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I10" i="15"/>
  <c r="G10" i="15"/>
  <c r="E10" i="15"/>
  <c r="AN9" i="15"/>
  <c r="AM9" i="15"/>
  <c r="AL9" i="15"/>
  <c r="AK9" i="15"/>
  <c r="AJ9" i="15"/>
  <c r="AI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I9" i="15"/>
  <c r="G9" i="15"/>
  <c r="E9" i="15"/>
  <c r="AN8" i="15"/>
  <c r="AM8" i="15"/>
  <c r="AL8" i="15"/>
  <c r="AK8" i="15"/>
  <c r="AI8" i="15"/>
  <c r="AH8" i="15"/>
  <c r="AG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I8" i="15"/>
  <c r="G8" i="15"/>
  <c r="E8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I7" i="15"/>
  <c r="G7" i="15"/>
  <c r="E7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I6" i="15"/>
  <c r="G6" i="15"/>
  <c r="E6" i="15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AN5" i="15"/>
  <c r="AM5" i="15"/>
  <c r="AL5" i="15"/>
  <c r="AJ5" i="15"/>
  <c r="AI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O6" i="15" s="1"/>
  <c r="O7" i="15" s="1"/>
  <c r="O8" i="15" s="1"/>
  <c r="O9" i="15" s="1"/>
  <c r="O10" i="15" s="1"/>
  <c r="I5" i="15"/>
  <c r="G5" i="15"/>
  <c r="E5" i="15"/>
  <c r="AN4" i="15"/>
  <c r="AM4" i="15"/>
  <c r="AL4" i="15"/>
  <c r="AK4" i="15"/>
  <c r="AJ4" i="15"/>
  <c r="AI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P3" i="15"/>
  <c r="H3" i="15"/>
  <c r="G3" i="15"/>
  <c r="D3" i="15"/>
  <c r="F32" i="14"/>
  <c r="C32" i="14"/>
  <c r="B32" i="14"/>
  <c r="E32" i="14" s="1"/>
  <c r="F31" i="14"/>
  <c r="I31" i="14" s="1"/>
  <c r="E31" i="14"/>
  <c r="H17" i="14"/>
  <c r="G17" i="14"/>
  <c r="H14" i="14"/>
  <c r="G14" i="14"/>
  <c r="F7" i="14"/>
  <c r="D7" i="14"/>
  <c r="C23" i="14" s="1"/>
  <c r="C7" i="14"/>
  <c r="B7" i="14"/>
  <c r="G4" i="14"/>
  <c r="G7" i="14" s="1"/>
  <c r="E4" i="14"/>
  <c r="E7" i="14" s="1"/>
  <c r="C4" i="14"/>
  <c r="E195" i="13"/>
  <c r="E194" i="13"/>
  <c r="I193" i="13"/>
  <c r="E191" i="13"/>
  <c r="G184" i="13"/>
  <c r="H184" i="13" s="1"/>
  <c r="E182" i="13"/>
  <c r="I174" i="13"/>
  <c r="G174" i="13"/>
  <c r="G187" i="13" s="1"/>
  <c r="H187" i="13" s="1"/>
  <c r="E174" i="13"/>
  <c r="E197" i="13" s="1"/>
  <c r="I173" i="13"/>
  <c r="I186" i="13" s="1"/>
  <c r="J186" i="13" s="1"/>
  <c r="G173" i="13"/>
  <c r="E173" i="13"/>
  <c r="I172" i="13"/>
  <c r="I195" i="13" s="1"/>
  <c r="G172" i="13"/>
  <c r="E172" i="13"/>
  <c r="I171" i="13"/>
  <c r="G171" i="13"/>
  <c r="G155" i="13" s="1"/>
  <c r="E171" i="13"/>
  <c r="E184" i="13" s="1"/>
  <c r="F184" i="13" s="1"/>
  <c r="I170" i="13"/>
  <c r="G170" i="13"/>
  <c r="E170" i="13"/>
  <c r="E154" i="13" s="1"/>
  <c r="I169" i="13"/>
  <c r="G169" i="13"/>
  <c r="G182" i="13" s="1"/>
  <c r="E169" i="13"/>
  <c r="E192" i="13" s="1"/>
  <c r="I168" i="13"/>
  <c r="I191" i="13" s="1"/>
  <c r="G168" i="13"/>
  <c r="G181" i="13" s="1"/>
  <c r="H181" i="13" s="1"/>
  <c r="E168" i="13"/>
  <c r="I167" i="13"/>
  <c r="G167" i="13"/>
  <c r="G180" i="13" s="1"/>
  <c r="E167" i="13"/>
  <c r="E190" i="13" s="1"/>
  <c r="I158" i="13"/>
  <c r="G158" i="13"/>
  <c r="E158" i="13"/>
  <c r="I157" i="13"/>
  <c r="G157" i="13"/>
  <c r="E157" i="13"/>
  <c r="I156" i="13"/>
  <c r="G156" i="13"/>
  <c r="E156" i="13"/>
  <c r="E155" i="13"/>
  <c r="R154" i="13"/>
  <c r="I154" i="13"/>
  <c r="R153" i="13"/>
  <c r="R152" i="13"/>
  <c r="J152" i="13"/>
  <c r="H152" i="13"/>
  <c r="F152" i="13"/>
  <c r="R151" i="13"/>
  <c r="J151" i="13"/>
  <c r="H151" i="13"/>
  <c r="F151" i="13"/>
  <c r="R150" i="13"/>
  <c r="J150" i="13"/>
  <c r="H150" i="13"/>
  <c r="F150" i="13"/>
  <c r="R149" i="13"/>
  <c r="J149" i="13"/>
  <c r="H149" i="13"/>
  <c r="F149" i="13"/>
  <c r="R148" i="13"/>
  <c r="J148" i="13"/>
  <c r="H148" i="13"/>
  <c r="F148" i="13"/>
  <c r="R147" i="13"/>
  <c r="R155" i="13" s="1"/>
  <c r="J147" i="13"/>
  <c r="H147" i="13"/>
  <c r="F147" i="13"/>
  <c r="J146" i="13"/>
  <c r="H146" i="13"/>
  <c r="F146" i="13"/>
  <c r="J145" i="13"/>
  <c r="H145" i="13"/>
  <c r="F145" i="13"/>
  <c r="J143" i="13"/>
  <c r="H143" i="13"/>
  <c r="F143" i="13"/>
  <c r="J142" i="13"/>
  <c r="H142" i="13"/>
  <c r="F142" i="13"/>
  <c r="J141" i="13"/>
  <c r="H141" i="13"/>
  <c r="F141" i="13"/>
  <c r="J140" i="13"/>
  <c r="H140" i="13"/>
  <c r="F140" i="13"/>
  <c r="J139" i="13"/>
  <c r="H139" i="13"/>
  <c r="F139" i="13"/>
  <c r="J138" i="13"/>
  <c r="H138" i="13"/>
  <c r="F138" i="13"/>
  <c r="J137" i="13"/>
  <c r="H137" i="13"/>
  <c r="F137" i="13"/>
  <c r="J136" i="13"/>
  <c r="H136" i="13"/>
  <c r="F136" i="13"/>
  <c r="J135" i="13"/>
  <c r="H135" i="13"/>
  <c r="F135" i="13"/>
  <c r="J134" i="13"/>
  <c r="H134" i="13"/>
  <c r="F134" i="13"/>
  <c r="J133" i="13"/>
  <c r="H133" i="13"/>
  <c r="F133" i="13"/>
  <c r="J132" i="13"/>
  <c r="H132" i="13"/>
  <c r="F132" i="13"/>
  <c r="J131" i="13"/>
  <c r="H131" i="13"/>
  <c r="F131" i="13"/>
  <c r="O126" i="13"/>
  <c r="M126" i="13"/>
  <c r="K126" i="13"/>
  <c r="J126" i="13"/>
  <c r="L126" i="13" s="1"/>
  <c r="H126" i="13"/>
  <c r="F126" i="13"/>
  <c r="O125" i="13"/>
  <c r="M125" i="13"/>
  <c r="K125" i="13"/>
  <c r="J125" i="13"/>
  <c r="L125" i="13" s="1"/>
  <c r="H125" i="13"/>
  <c r="F125" i="13"/>
  <c r="O124" i="13"/>
  <c r="M124" i="13"/>
  <c r="L124" i="13"/>
  <c r="K124" i="13"/>
  <c r="J124" i="13"/>
  <c r="H124" i="13"/>
  <c r="F124" i="13"/>
  <c r="O123" i="13"/>
  <c r="M123" i="13"/>
  <c r="K123" i="13"/>
  <c r="J123" i="13"/>
  <c r="L123" i="13" s="1"/>
  <c r="H123" i="13"/>
  <c r="F123" i="13"/>
  <c r="O122" i="13"/>
  <c r="M122" i="13"/>
  <c r="K122" i="13"/>
  <c r="J122" i="13"/>
  <c r="L122" i="13" s="1"/>
  <c r="H122" i="13"/>
  <c r="F122" i="13"/>
  <c r="O121" i="13"/>
  <c r="M121" i="13"/>
  <c r="K121" i="13"/>
  <c r="J121" i="13"/>
  <c r="L121" i="13" s="1"/>
  <c r="H121" i="13"/>
  <c r="F121" i="13"/>
  <c r="U120" i="13"/>
  <c r="O120" i="13"/>
  <c r="M120" i="13"/>
  <c r="L120" i="13"/>
  <c r="K120" i="13"/>
  <c r="J120" i="13"/>
  <c r="H120" i="13"/>
  <c r="F120" i="13"/>
  <c r="U119" i="13"/>
  <c r="T119" i="13"/>
  <c r="O119" i="13"/>
  <c r="M119" i="13"/>
  <c r="L119" i="13"/>
  <c r="K119" i="13"/>
  <c r="J119" i="13"/>
  <c r="H119" i="13"/>
  <c r="F119" i="13"/>
  <c r="O118" i="13"/>
  <c r="M118" i="13"/>
  <c r="K118" i="13"/>
  <c r="J118" i="13"/>
  <c r="L118" i="13" s="1"/>
  <c r="H118" i="13"/>
  <c r="F118" i="13"/>
  <c r="U114" i="13"/>
  <c r="J114" i="13"/>
  <c r="H114" i="13"/>
  <c r="F114" i="13"/>
  <c r="U113" i="13"/>
  <c r="J113" i="13"/>
  <c r="H113" i="13"/>
  <c r="F113" i="13"/>
  <c r="U112" i="13"/>
  <c r="J112" i="13"/>
  <c r="H112" i="13"/>
  <c r="F112" i="13"/>
  <c r="U111" i="13"/>
  <c r="J111" i="13"/>
  <c r="H111" i="13"/>
  <c r="F111" i="13"/>
  <c r="U110" i="13"/>
  <c r="J110" i="13"/>
  <c r="H110" i="13"/>
  <c r="F110" i="13"/>
  <c r="U109" i="13"/>
  <c r="K109" i="13"/>
  <c r="J109" i="13"/>
  <c r="H109" i="13"/>
  <c r="F109" i="13"/>
  <c r="U108" i="13"/>
  <c r="J108" i="13"/>
  <c r="H108" i="13"/>
  <c r="F108" i="13"/>
  <c r="U107" i="13"/>
  <c r="J107" i="13"/>
  <c r="H107" i="13"/>
  <c r="F107" i="13"/>
  <c r="U106" i="13"/>
  <c r="J106" i="13"/>
  <c r="H106" i="13"/>
  <c r="F106" i="13"/>
  <c r="U105" i="13"/>
  <c r="J105" i="13"/>
  <c r="H105" i="13"/>
  <c r="F105" i="13"/>
  <c r="U104" i="13"/>
  <c r="J104" i="13"/>
  <c r="H104" i="13"/>
  <c r="F104" i="13"/>
  <c r="U103" i="13"/>
  <c r="J103" i="13"/>
  <c r="J174" i="13" s="1"/>
  <c r="J158" i="13" s="1"/>
  <c r="H103" i="13"/>
  <c r="H174" i="13" s="1"/>
  <c r="H158" i="13" s="1"/>
  <c r="F103" i="13"/>
  <c r="F174" i="13" s="1"/>
  <c r="F158" i="13" s="1"/>
  <c r="U101" i="13"/>
  <c r="J101" i="13"/>
  <c r="H101" i="13"/>
  <c r="F101" i="13"/>
  <c r="U100" i="13"/>
  <c r="J100" i="13"/>
  <c r="H100" i="13"/>
  <c r="F100" i="13"/>
  <c r="U99" i="13"/>
  <c r="J99" i="13"/>
  <c r="H99" i="13"/>
  <c r="F99" i="13"/>
  <c r="U98" i="13"/>
  <c r="J98" i="13"/>
  <c r="H98" i="13"/>
  <c r="F98" i="13"/>
  <c r="U97" i="13"/>
  <c r="J97" i="13"/>
  <c r="H97" i="13"/>
  <c r="F97" i="13"/>
  <c r="U96" i="13"/>
  <c r="K96" i="13"/>
  <c r="J96" i="13"/>
  <c r="H96" i="13"/>
  <c r="F96" i="13"/>
  <c r="U95" i="13"/>
  <c r="J95" i="13"/>
  <c r="H95" i="13"/>
  <c r="F95" i="13"/>
  <c r="U94" i="13"/>
  <c r="J94" i="13"/>
  <c r="H94" i="13"/>
  <c r="F94" i="13"/>
  <c r="U93" i="13"/>
  <c r="J93" i="13"/>
  <c r="H93" i="13"/>
  <c r="F93" i="13"/>
  <c r="U92" i="13"/>
  <c r="J92" i="13"/>
  <c r="H92" i="13"/>
  <c r="F92" i="13"/>
  <c r="U91" i="13"/>
  <c r="J91" i="13"/>
  <c r="J173" i="13" s="1"/>
  <c r="J157" i="13" s="1"/>
  <c r="H91" i="13"/>
  <c r="H173" i="13" s="1"/>
  <c r="H157" i="13" s="1"/>
  <c r="F91" i="13"/>
  <c r="J90" i="13"/>
  <c r="H90" i="13"/>
  <c r="F90" i="13"/>
  <c r="J89" i="13"/>
  <c r="H89" i="13"/>
  <c r="F89" i="13"/>
  <c r="J88" i="13"/>
  <c r="H88" i="13"/>
  <c r="F88" i="13"/>
  <c r="J87" i="13"/>
  <c r="H87" i="13"/>
  <c r="F87" i="13"/>
  <c r="U86" i="13"/>
  <c r="J86" i="13"/>
  <c r="H86" i="13"/>
  <c r="F86" i="13"/>
  <c r="U85" i="13"/>
  <c r="J85" i="13"/>
  <c r="H85" i="13"/>
  <c r="F85" i="13"/>
  <c r="U84" i="13"/>
  <c r="J84" i="13"/>
  <c r="H84" i="13"/>
  <c r="F84" i="13"/>
  <c r="U83" i="13"/>
  <c r="J83" i="13"/>
  <c r="H83" i="13"/>
  <c r="F83" i="13"/>
  <c r="U82" i="13"/>
  <c r="K82" i="13"/>
  <c r="J82" i="13"/>
  <c r="H82" i="13"/>
  <c r="F82" i="13"/>
  <c r="U81" i="13"/>
  <c r="J81" i="13"/>
  <c r="H81" i="13"/>
  <c r="F81" i="13"/>
  <c r="U80" i="13"/>
  <c r="J80" i="13"/>
  <c r="H80" i="13"/>
  <c r="F80" i="13"/>
  <c r="U79" i="13"/>
  <c r="J79" i="13"/>
  <c r="H79" i="13"/>
  <c r="H172" i="13" s="1"/>
  <c r="H156" i="13" s="1"/>
  <c r="F79" i="13"/>
  <c r="F172" i="13" s="1"/>
  <c r="F156" i="13" s="1"/>
  <c r="U78" i="13"/>
  <c r="J78" i="13"/>
  <c r="H78" i="13"/>
  <c r="F78" i="13"/>
  <c r="J77" i="13"/>
  <c r="H77" i="13"/>
  <c r="F77" i="13"/>
  <c r="J76" i="13"/>
  <c r="H76" i="13"/>
  <c r="F76" i="13"/>
  <c r="J75" i="13"/>
  <c r="H75" i="13"/>
  <c r="F75" i="13"/>
  <c r="U74" i="13"/>
  <c r="J74" i="13"/>
  <c r="H74" i="13"/>
  <c r="F74" i="13"/>
  <c r="U73" i="13"/>
  <c r="J73" i="13"/>
  <c r="H73" i="13"/>
  <c r="F73" i="13"/>
  <c r="U72" i="13"/>
  <c r="J72" i="13"/>
  <c r="H72" i="13"/>
  <c r="F72" i="13"/>
  <c r="U71" i="13"/>
  <c r="K71" i="13"/>
  <c r="J71" i="13"/>
  <c r="H71" i="13"/>
  <c r="F71" i="13"/>
  <c r="U70" i="13"/>
  <c r="J70" i="13"/>
  <c r="H70" i="13"/>
  <c r="F70" i="13"/>
  <c r="U69" i="13"/>
  <c r="J69" i="13"/>
  <c r="J171" i="13" s="1"/>
  <c r="J155" i="13" s="1"/>
  <c r="H69" i="13"/>
  <c r="H171" i="13" s="1"/>
  <c r="H155" i="13" s="1"/>
  <c r="F69" i="13"/>
  <c r="F171" i="13" s="1"/>
  <c r="F155" i="13" s="1"/>
  <c r="U68" i="13"/>
  <c r="J68" i="13"/>
  <c r="H68" i="13"/>
  <c r="F68" i="13"/>
  <c r="U67" i="13"/>
  <c r="J67" i="13"/>
  <c r="H67" i="13"/>
  <c r="F67" i="13"/>
  <c r="J66" i="13"/>
  <c r="H66" i="13"/>
  <c r="F66" i="13"/>
  <c r="J65" i="13"/>
  <c r="H65" i="13"/>
  <c r="F65" i="13"/>
  <c r="J64" i="13"/>
  <c r="H64" i="13"/>
  <c r="F64" i="13"/>
  <c r="J63" i="13"/>
  <c r="H63" i="13"/>
  <c r="F63" i="13"/>
  <c r="U62" i="13"/>
  <c r="J62" i="13"/>
  <c r="H62" i="13"/>
  <c r="F62" i="13"/>
  <c r="BC61" i="13"/>
  <c r="U61" i="13"/>
  <c r="J61" i="13"/>
  <c r="H61" i="13"/>
  <c r="F61" i="13"/>
  <c r="BC60" i="13"/>
  <c r="U60" i="13"/>
  <c r="J60" i="13"/>
  <c r="J170" i="13" s="1"/>
  <c r="J154" i="13" s="1"/>
  <c r="H60" i="13"/>
  <c r="H170" i="13" s="1"/>
  <c r="H154" i="13" s="1"/>
  <c r="F60" i="13"/>
  <c r="F170" i="13" s="1"/>
  <c r="F154" i="13" s="1"/>
  <c r="BC59" i="13"/>
  <c r="U59" i="13"/>
  <c r="K59" i="13"/>
  <c r="J59" i="13"/>
  <c r="H59" i="13"/>
  <c r="F59" i="13"/>
  <c r="BC58" i="13"/>
  <c r="U58" i="13"/>
  <c r="J58" i="13"/>
  <c r="H58" i="13"/>
  <c r="F58" i="13"/>
  <c r="BC57" i="13"/>
  <c r="U57" i="13"/>
  <c r="J57" i="13"/>
  <c r="H57" i="13"/>
  <c r="F57" i="13"/>
  <c r="BC56" i="13"/>
  <c r="U56" i="13"/>
  <c r="J56" i="13"/>
  <c r="H56" i="13"/>
  <c r="F56" i="13"/>
  <c r="BC55" i="13"/>
  <c r="U55" i="13"/>
  <c r="J55" i="13"/>
  <c r="H55" i="13"/>
  <c r="F55" i="13"/>
  <c r="BC54" i="13"/>
  <c r="U53" i="13"/>
  <c r="J53" i="13"/>
  <c r="H53" i="13"/>
  <c r="F53" i="13"/>
  <c r="U52" i="13"/>
  <c r="J52" i="13"/>
  <c r="H52" i="13"/>
  <c r="F52" i="13"/>
  <c r="U51" i="13"/>
  <c r="J51" i="13"/>
  <c r="H51" i="13"/>
  <c r="F51" i="13"/>
  <c r="U50" i="13"/>
  <c r="J50" i="13"/>
  <c r="J169" i="13" s="1"/>
  <c r="H50" i="13"/>
  <c r="F50" i="13"/>
  <c r="U49" i="13"/>
  <c r="J49" i="13"/>
  <c r="H49" i="13"/>
  <c r="F49" i="13"/>
  <c r="U48" i="13"/>
  <c r="J48" i="13"/>
  <c r="H48" i="13"/>
  <c r="F48" i="13"/>
  <c r="U47" i="13"/>
  <c r="K47" i="13"/>
  <c r="J47" i="13"/>
  <c r="H47" i="13"/>
  <c r="F47" i="13"/>
  <c r="U46" i="13"/>
  <c r="J46" i="13"/>
  <c r="H46" i="13"/>
  <c r="F46" i="13"/>
  <c r="U45" i="13"/>
  <c r="J45" i="13"/>
  <c r="H45" i="13"/>
  <c r="F45" i="13"/>
  <c r="U44" i="13"/>
  <c r="J44" i="13"/>
  <c r="H44" i="13"/>
  <c r="F44" i="13"/>
  <c r="U43" i="13"/>
  <c r="J43" i="13"/>
  <c r="H43" i="13"/>
  <c r="F43" i="13"/>
  <c r="U42" i="13"/>
  <c r="J42" i="13"/>
  <c r="H42" i="13"/>
  <c r="F42" i="13"/>
  <c r="U41" i="13"/>
  <c r="J41" i="13"/>
  <c r="H41" i="13"/>
  <c r="F41" i="13"/>
  <c r="U40" i="13"/>
  <c r="J40" i="13"/>
  <c r="H40" i="13"/>
  <c r="F40" i="13"/>
  <c r="J39" i="13"/>
  <c r="H39" i="13"/>
  <c r="F39" i="13"/>
  <c r="J38" i="13"/>
  <c r="H38" i="13"/>
  <c r="F38" i="13"/>
  <c r="Z37" i="13"/>
  <c r="Z38" i="13" s="1"/>
  <c r="Z39" i="13" s="1"/>
  <c r="Z40" i="13" s="1"/>
  <c r="Z41" i="13" s="1"/>
  <c r="Z42" i="13" s="1"/>
  <c r="Z43" i="13" s="1"/>
  <c r="Z44" i="13" s="1"/>
  <c r="Z45" i="13" s="1"/>
  <c r="U37" i="13"/>
  <c r="J37" i="13"/>
  <c r="H37" i="13"/>
  <c r="F37" i="13"/>
  <c r="U36" i="13"/>
  <c r="J36" i="13"/>
  <c r="H36" i="13"/>
  <c r="F36" i="13"/>
  <c r="Z35" i="13"/>
  <c r="Z36" i="13" s="1"/>
  <c r="U35" i="13"/>
  <c r="J35" i="13"/>
  <c r="H35" i="13"/>
  <c r="H168" i="13" s="1"/>
  <c r="F35" i="13"/>
  <c r="F168" i="13" s="1"/>
  <c r="Z34" i="13"/>
  <c r="U34" i="13"/>
  <c r="J34" i="13"/>
  <c r="H34" i="13"/>
  <c r="F34" i="13"/>
  <c r="U33" i="13"/>
  <c r="J33" i="13"/>
  <c r="H33" i="13"/>
  <c r="F33" i="13"/>
  <c r="U32" i="13"/>
  <c r="J32" i="13"/>
  <c r="H32" i="13"/>
  <c r="F32" i="13"/>
  <c r="U31" i="13"/>
  <c r="J31" i="13"/>
  <c r="H31" i="13"/>
  <c r="F31" i="13"/>
  <c r="U30" i="13"/>
  <c r="K30" i="13"/>
  <c r="J30" i="13"/>
  <c r="H30" i="13"/>
  <c r="F30" i="13"/>
  <c r="U29" i="13"/>
  <c r="J29" i="13"/>
  <c r="H29" i="13"/>
  <c r="F29" i="13"/>
  <c r="U28" i="13"/>
  <c r="J28" i="13"/>
  <c r="H28" i="13"/>
  <c r="F28" i="13"/>
  <c r="U27" i="13"/>
  <c r="J27" i="13"/>
  <c r="H27" i="13"/>
  <c r="F27" i="13"/>
  <c r="U26" i="13"/>
  <c r="J26" i="13"/>
  <c r="H26" i="13"/>
  <c r="F26" i="13"/>
  <c r="U25" i="13"/>
  <c r="J25" i="13"/>
  <c r="H25" i="13"/>
  <c r="F25" i="13"/>
  <c r="U24" i="13"/>
  <c r="J24" i="13"/>
  <c r="H24" i="13"/>
  <c r="F24" i="13"/>
  <c r="J23" i="13"/>
  <c r="H23" i="13"/>
  <c r="F23" i="13"/>
  <c r="J22" i="13"/>
  <c r="H22" i="13"/>
  <c r="F22" i="13"/>
  <c r="Z21" i="13"/>
  <c r="Z22" i="13" s="1"/>
  <c r="Z23" i="13" s="1"/>
  <c r="U21" i="13"/>
  <c r="J21" i="13"/>
  <c r="H21" i="13"/>
  <c r="F21" i="13"/>
  <c r="Z20" i="13"/>
  <c r="AZ20" i="13" s="1"/>
  <c r="U20" i="13"/>
  <c r="J20" i="13"/>
  <c r="H20" i="13"/>
  <c r="F20" i="13"/>
  <c r="BR19" i="13"/>
  <c r="AZ19" i="13"/>
  <c r="Z19" i="13"/>
  <c r="U19" i="13"/>
  <c r="J19" i="13"/>
  <c r="J167" i="13" s="1"/>
  <c r="H19" i="13"/>
  <c r="H167" i="13" s="1"/>
  <c r="F19" i="13"/>
  <c r="F167" i="13" s="1"/>
  <c r="BR18" i="13"/>
  <c r="Z18" i="13"/>
  <c r="AZ18" i="13" s="1"/>
  <c r="U18" i="13"/>
  <c r="J18" i="13"/>
  <c r="H18" i="13"/>
  <c r="F18" i="13"/>
  <c r="BR17" i="13"/>
  <c r="Z17" i="13"/>
  <c r="AZ17" i="13" s="1"/>
  <c r="U17" i="13"/>
  <c r="J17" i="13"/>
  <c r="H17" i="13"/>
  <c r="F17" i="13"/>
  <c r="BR16" i="13"/>
  <c r="Z16" i="13"/>
  <c r="AZ16" i="13" s="1"/>
  <c r="U16" i="13"/>
  <c r="J16" i="13"/>
  <c r="H16" i="13"/>
  <c r="F16" i="13"/>
  <c r="BR15" i="13"/>
  <c r="AZ15" i="13"/>
  <c r="Z15" i="13"/>
  <c r="U15" i="13"/>
  <c r="J15" i="13"/>
  <c r="H15" i="13"/>
  <c r="F15" i="13"/>
  <c r="BR14" i="13"/>
  <c r="Z14" i="13"/>
  <c r="AZ14" i="13" s="1"/>
  <c r="U14" i="13"/>
  <c r="J14" i="13"/>
  <c r="H14" i="13"/>
  <c r="F14" i="13"/>
  <c r="BR13" i="13"/>
  <c r="AZ13" i="13"/>
  <c r="Z13" i="13"/>
  <c r="U13" i="13"/>
  <c r="K13" i="13"/>
  <c r="J13" i="13"/>
  <c r="H13" i="13"/>
  <c r="F13" i="13"/>
  <c r="BR12" i="13"/>
  <c r="AZ12" i="13"/>
  <c r="Z12" i="13"/>
  <c r="U12" i="13"/>
  <c r="J12" i="13"/>
  <c r="H12" i="13"/>
  <c r="F12" i="13"/>
  <c r="BR11" i="13"/>
  <c r="Z11" i="13"/>
  <c r="AZ11" i="13" s="1"/>
  <c r="U11" i="13"/>
  <c r="J11" i="13"/>
  <c r="H11" i="13"/>
  <c r="F11" i="13"/>
  <c r="BR10" i="13"/>
  <c r="Z10" i="13"/>
  <c r="AZ10" i="13" s="1"/>
  <c r="U10" i="13"/>
  <c r="J10" i="13"/>
  <c r="H10" i="13"/>
  <c r="F10" i="13"/>
  <c r="BR9" i="13"/>
  <c r="Z9" i="13"/>
  <c r="AZ9" i="13" s="1"/>
  <c r="U9" i="13"/>
  <c r="J9" i="13"/>
  <c r="H9" i="13"/>
  <c r="F9" i="13"/>
  <c r="BT8" i="13"/>
  <c r="BR8" i="13"/>
  <c r="AZ8" i="13"/>
  <c r="Z8" i="13"/>
  <c r="U8" i="13"/>
  <c r="J8" i="13"/>
  <c r="H8" i="13"/>
  <c r="F8" i="13"/>
  <c r="BT7" i="13"/>
  <c r="BB7" i="13"/>
  <c r="AB7" i="13"/>
  <c r="Z7" i="13"/>
  <c r="U7" i="13"/>
  <c r="I3" i="13"/>
  <c r="E3" i="13"/>
  <c r="H3" i="13" s="1"/>
  <c r="P25" i="13" s="1"/>
  <c r="AD9" i="13" s="1"/>
  <c r="B21" i="12"/>
  <c r="B19" i="12"/>
  <c r="A19" i="12"/>
  <c r="D21" i="12" s="1"/>
  <c r="A8" i="12"/>
  <c r="H6" i="12"/>
  <c r="G4" i="12"/>
  <c r="B1" i="12"/>
  <c r="G15" i="12" s="1"/>
  <c r="B19" i="11"/>
  <c r="A19" i="11"/>
  <c r="B8" i="11"/>
  <c r="A8" i="11"/>
  <c r="B6" i="11"/>
  <c r="B1" i="11"/>
  <c r="G4" i="11" s="1"/>
  <c r="D3" i="10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W21" i="9"/>
  <c r="Q21" i="9"/>
  <c r="X20" i="9"/>
  <c r="W20" i="9"/>
  <c r="Q20" i="9"/>
  <c r="X19" i="9"/>
  <c r="W19" i="9"/>
  <c r="Q19" i="9"/>
  <c r="X18" i="9"/>
  <c r="W18" i="9"/>
  <c r="Q18" i="9"/>
  <c r="X17" i="9"/>
  <c r="W17" i="9"/>
  <c r="Q17" i="9"/>
  <c r="X15" i="9"/>
  <c r="W15" i="9"/>
  <c r="X14" i="9"/>
  <c r="S14" i="9"/>
  <c r="Q14" i="9"/>
  <c r="T13" i="9"/>
  <c r="T15" i="9" s="1"/>
  <c r="S13" i="9"/>
  <c r="S15" i="9" s="1"/>
  <c r="T117" i="13" s="1"/>
  <c r="Q13" i="9"/>
  <c r="T12" i="9"/>
  <c r="U12" i="9" s="1"/>
  <c r="S12" i="9"/>
  <c r="Q12" i="9"/>
  <c r="X11" i="9"/>
  <c r="W11" i="9"/>
  <c r="K11" i="9"/>
  <c r="I11" i="9"/>
  <c r="G11" i="9"/>
  <c r="D11" i="9"/>
  <c r="C11" i="9"/>
  <c r="B11" i="9"/>
  <c r="U11" i="9" s="1"/>
  <c r="A11" i="9"/>
  <c r="W10" i="9"/>
  <c r="U10" i="9"/>
  <c r="K10" i="9"/>
  <c r="X10" i="9" s="1"/>
  <c r="I10" i="9"/>
  <c r="G10" i="9"/>
  <c r="E10" i="9"/>
  <c r="D10" i="9"/>
  <c r="C10" i="9"/>
  <c r="V10" i="9" s="1"/>
  <c r="B10" i="9"/>
  <c r="W9" i="9"/>
  <c r="U9" i="9"/>
  <c r="K9" i="9"/>
  <c r="X9" i="9" s="1"/>
  <c r="I9" i="9"/>
  <c r="G9" i="9"/>
  <c r="E9" i="9"/>
  <c r="D9" i="9"/>
  <c r="C9" i="9"/>
  <c r="V9" i="9" s="1"/>
  <c r="B9" i="9"/>
  <c r="W8" i="9"/>
  <c r="U8" i="9"/>
  <c r="K8" i="9"/>
  <c r="X8" i="9" s="1"/>
  <c r="I8" i="9"/>
  <c r="G8" i="9"/>
  <c r="E8" i="9"/>
  <c r="D8" i="9"/>
  <c r="C8" i="9"/>
  <c r="V8" i="9" s="1"/>
  <c r="B8" i="9"/>
  <c r="W7" i="9"/>
  <c r="U7" i="9"/>
  <c r="K7" i="9"/>
  <c r="X7" i="9" s="1"/>
  <c r="I7" i="9"/>
  <c r="G7" i="9"/>
  <c r="E7" i="9"/>
  <c r="D7" i="9"/>
  <c r="C7" i="9"/>
  <c r="V7" i="9" s="1"/>
  <c r="B7" i="9"/>
  <c r="W6" i="9"/>
  <c r="U6" i="9"/>
  <c r="K6" i="9"/>
  <c r="X6" i="9" s="1"/>
  <c r="I6" i="9"/>
  <c r="G6" i="9"/>
  <c r="E6" i="9"/>
  <c r="D6" i="9"/>
  <c r="C6" i="9"/>
  <c r="V6" i="9" s="1"/>
  <c r="B6" i="9"/>
  <c r="W5" i="9"/>
  <c r="V5" i="9"/>
  <c r="K5" i="9"/>
  <c r="X5" i="9" s="1"/>
  <c r="I5" i="9"/>
  <c r="G5" i="9"/>
  <c r="E5" i="9"/>
  <c r="C5" i="9"/>
  <c r="B5" i="9"/>
  <c r="U5" i="9" s="1"/>
  <c r="W4" i="9"/>
  <c r="V4" i="9"/>
  <c r="U4" i="9"/>
  <c r="K4" i="9"/>
  <c r="X4" i="9" s="1"/>
  <c r="I4" i="9"/>
  <c r="G4" i="9"/>
  <c r="E4" i="9"/>
  <c r="C4" i="9"/>
  <c r="B4" i="9"/>
  <c r="D4" i="9" s="1"/>
  <c r="W3" i="9"/>
  <c r="V3" i="9"/>
  <c r="U3" i="9"/>
  <c r="K3" i="9"/>
  <c r="X3" i="9" s="1"/>
  <c r="I3" i="9"/>
  <c r="G3" i="9"/>
  <c r="E3" i="9"/>
  <c r="C3" i="9"/>
  <c r="B3" i="9"/>
  <c r="D3" i="9" s="1"/>
  <c r="W2" i="9"/>
  <c r="V2" i="9"/>
  <c r="U2" i="9"/>
  <c r="K2" i="9"/>
  <c r="X2" i="9" s="1"/>
  <c r="I2" i="9"/>
  <c r="G2" i="9"/>
  <c r="E2" i="9"/>
  <c r="D2" i="9"/>
  <c r="B2" i="9"/>
  <c r="X1" i="9"/>
  <c r="W1" i="9"/>
  <c r="P3" i="8"/>
  <c r="O3" i="8"/>
  <c r="L3" i="8"/>
  <c r="G3" i="8"/>
  <c r="G2" i="8"/>
  <c r="E2" i="8"/>
  <c r="D2" i="8"/>
  <c r="S79" i="7"/>
  <c r="Q79" i="7"/>
  <c r="P79" i="7"/>
  <c r="M79" i="7"/>
  <c r="S78" i="7"/>
  <c r="P78" i="7"/>
  <c r="N78" i="7"/>
  <c r="M78" i="7"/>
  <c r="S77" i="7"/>
  <c r="P77" i="7"/>
  <c r="N77" i="7"/>
  <c r="M77" i="7"/>
  <c r="S76" i="7"/>
  <c r="P76" i="7"/>
  <c r="M76" i="7"/>
  <c r="S75" i="7"/>
  <c r="P75" i="7"/>
  <c r="M75" i="7"/>
  <c r="S74" i="7"/>
  <c r="P74" i="7"/>
  <c r="N74" i="7"/>
  <c r="M74" i="7"/>
  <c r="S73" i="7"/>
  <c r="P73" i="7"/>
  <c r="N73" i="7"/>
  <c r="M73" i="7"/>
  <c r="S72" i="7"/>
  <c r="P72" i="7"/>
  <c r="M72" i="7"/>
  <c r="S71" i="7"/>
  <c r="Q71" i="7"/>
  <c r="P71" i="7"/>
  <c r="M71" i="7"/>
  <c r="AC67" i="7"/>
  <c r="AB67" i="7"/>
  <c r="AC66" i="7"/>
  <c r="AB66" i="7"/>
  <c r="AC65" i="7"/>
  <c r="AB65" i="7"/>
  <c r="AC64" i="7"/>
  <c r="AB64" i="7"/>
  <c r="AC63" i="7"/>
  <c r="AB63" i="7"/>
  <c r="AC62" i="7"/>
  <c r="AB62" i="7"/>
  <c r="AC61" i="7"/>
  <c r="AB61" i="7"/>
  <c r="AC60" i="7"/>
  <c r="AB60" i="7"/>
  <c r="AC59" i="7"/>
  <c r="AB59" i="7"/>
  <c r="AC58" i="7"/>
  <c r="AB58" i="7"/>
  <c r="AC57" i="7"/>
  <c r="AB57" i="7"/>
  <c r="AC56" i="7"/>
  <c r="AB56" i="7"/>
  <c r="AC55" i="7"/>
  <c r="AB55" i="7"/>
  <c r="AC54" i="7"/>
  <c r="AB54" i="7"/>
  <c r="AC53" i="7"/>
  <c r="AB53" i="7"/>
  <c r="AC52" i="7"/>
  <c r="AB52" i="7"/>
  <c r="Y51" i="7"/>
  <c r="AC51" i="7" s="1"/>
  <c r="X51" i="7"/>
  <c r="AB51" i="7" s="1"/>
  <c r="S51" i="7"/>
  <c r="R51" i="7"/>
  <c r="T51" i="7" s="1"/>
  <c r="Z51" i="7" s="1"/>
  <c r="P51" i="7"/>
  <c r="N51" i="7"/>
  <c r="N79" i="7" s="1"/>
  <c r="K51" i="7"/>
  <c r="L51" i="7" s="1"/>
  <c r="AC50" i="7"/>
  <c r="Y50" i="7"/>
  <c r="X50" i="7"/>
  <c r="AB50" i="7" s="1"/>
  <c r="S50" i="7"/>
  <c r="R50" i="7"/>
  <c r="P50" i="7"/>
  <c r="Q78" i="7" s="1"/>
  <c r="N50" i="7"/>
  <c r="K50" i="7"/>
  <c r="L50" i="7" s="1"/>
  <c r="Y49" i="7"/>
  <c r="AC49" i="7" s="1"/>
  <c r="X49" i="7"/>
  <c r="AB49" i="7" s="1"/>
  <c r="S49" i="7"/>
  <c r="R49" i="7"/>
  <c r="T49" i="7" s="1"/>
  <c r="Z49" i="7" s="1"/>
  <c r="P49" i="7"/>
  <c r="Q77" i="7" s="1"/>
  <c r="N49" i="7"/>
  <c r="K49" i="7"/>
  <c r="L49" i="7" s="1"/>
  <c r="AC48" i="7"/>
  <c r="Y48" i="7"/>
  <c r="X48" i="7"/>
  <c r="AB48" i="7" s="1"/>
  <c r="S48" i="7"/>
  <c r="R48" i="7"/>
  <c r="T48" i="7" s="1"/>
  <c r="Z48" i="7" s="1"/>
  <c r="P48" i="7"/>
  <c r="Q76" i="7" s="1"/>
  <c r="N48" i="7"/>
  <c r="N76" i="7" s="1"/>
  <c r="K48" i="7"/>
  <c r="L48" i="7" s="1"/>
  <c r="Y47" i="7"/>
  <c r="AC47" i="7" s="1"/>
  <c r="X47" i="7"/>
  <c r="AB47" i="7" s="1"/>
  <c r="S47" i="7"/>
  <c r="R47" i="7"/>
  <c r="T47" i="7" s="1"/>
  <c r="Z47" i="7" s="1"/>
  <c r="P47" i="7"/>
  <c r="Q75" i="7" s="1"/>
  <c r="N47" i="7"/>
  <c r="N75" i="7" s="1"/>
  <c r="K47" i="7"/>
  <c r="L47" i="7" s="1"/>
  <c r="Y46" i="7"/>
  <c r="AC46" i="7" s="1"/>
  <c r="X46" i="7"/>
  <c r="AB46" i="7" s="1"/>
  <c r="S46" i="7"/>
  <c r="R46" i="7"/>
  <c r="T46" i="7" s="1"/>
  <c r="Z46" i="7" s="1"/>
  <c r="P46" i="7"/>
  <c r="Q74" i="7" s="1"/>
  <c r="N46" i="7"/>
  <c r="K46" i="7"/>
  <c r="L46" i="7" s="1"/>
  <c r="Y45" i="7"/>
  <c r="AC45" i="7" s="1"/>
  <c r="X45" i="7"/>
  <c r="AB45" i="7" s="1"/>
  <c r="S45" i="7"/>
  <c r="R45" i="7"/>
  <c r="T45" i="7" s="1"/>
  <c r="Z45" i="7" s="1"/>
  <c r="P45" i="7"/>
  <c r="Q73" i="7" s="1"/>
  <c r="N45" i="7"/>
  <c r="K45" i="7"/>
  <c r="L45" i="7" s="1"/>
  <c r="AC44" i="7"/>
  <c r="Y44" i="7"/>
  <c r="X44" i="7"/>
  <c r="AB44" i="7" s="1"/>
  <c r="S44" i="7"/>
  <c r="R44" i="7"/>
  <c r="T44" i="7" s="1"/>
  <c r="Z44" i="7" s="1"/>
  <c r="P44" i="7"/>
  <c r="Q72" i="7" s="1"/>
  <c r="N44" i="7"/>
  <c r="N72" i="7" s="1"/>
  <c r="K44" i="7"/>
  <c r="L44" i="7" s="1"/>
  <c r="X43" i="7"/>
  <c r="AB43" i="7" s="1"/>
  <c r="R43" i="7"/>
  <c r="P43" i="7"/>
  <c r="N43" i="7"/>
  <c r="N71" i="7" s="1"/>
  <c r="K43" i="7"/>
  <c r="J43" i="7"/>
  <c r="S43" i="7" s="1"/>
  <c r="Y43" i="7" s="1"/>
  <c r="AC43" i="7" s="1"/>
  <c r="G43" i="7"/>
  <c r="AC42" i="7"/>
  <c r="AB42" i="7"/>
  <c r="AC41" i="7"/>
  <c r="AB41" i="7"/>
  <c r="Y35" i="7"/>
  <c r="X35" i="7"/>
  <c r="S35" i="7"/>
  <c r="R35" i="7"/>
  <c r="P35" i="7"/>
  <c r="N35" i="7"/>
  <c r="K35" i="7"/>
  <c r="L35" i="7" s="1"/>
  <c r="G35" i="7"/>
  <c r="X34" i="7"/>
  <c r="S34" i="7"/>
  <c r="Y34" i="7" s="1"/>
  <c r="R34" i="7"/>
  <c r="T34" i="7" s="1"/>
  <c r="Z34" i="7" s="1"/>
  <c r="P34" i="7"/>
  <c r="N34" i="7"/>
  <c r="L34" i="7"/>
  <c r="K34" i="7"/>
  <c r="G34" i="7"/>
  <c r="X33" i="7"/>
  <c r="T33" i="7"/>
  <c r="Z33" i="7" s="1"/>
  <c r="S33" i="7"/>
  <c r="Y33" i="7" s="1"/>
  <c r="R33" i="7"/>
  <c r="P33" i="7"/>
  <c r="N33" i="7"/>
  <c r="L33" i="7"/>
  <c r="K33" i="7"/>
  <c r="G33" i="7"/>
  <c r="Y32" i="7"/>
  <c r="X32" i="7"/>
  <c r="S32" i="7"/>
  <c r="R32" i="7"/>
  <c r="P32" i="7"/>
  <c r="N32" i="7"/>
  <c r="K32" i="7"/>
  <c r="L32" i="7" s="1"/>
  <c r="G32" i="7"/>
  <c r="Y31" i="7"/>
  <c r="X31" i="7"/>
  <c r="S31" i="7"/>
  <c r="R31" i="7"/>
  <c r="P31" i="7"/>
  <c r="N31" i="7"/>
  <c r="K31" i="7"/>
  <c r="L31" i="7" s="1"/>
  <c r="J31" i="7"/>
  <c r="G31" i="7"/>
  <c r="Y30" i="7"/>
  <c r="X30" i="7"/>
  <c r="S30" i="7"/>
  <c r="R30" i="7"/>
  <c r="T30" i="7" s="1"/>
  <c r="Z30" i="7" s="1"/>
  <c r="P30" i="7"/>
  <c r="N30" i="7"/>
  <c r="L30" i="7"/>
  <c r="K30" i="7"/>
  <c r="G30" i="7"/>
  <c r="X29" i="7"/>
  <c r="S29" i="7"/>
  <c r="Y29" i="7" s="1"/>
  <c r="R29" i="7"/>
  <c r="T29" i="7" s="1"/>
  <c r="Z29" i="7" s="1"/>
  <c r="P29" i="7"/>
  <c r="N29" i="7"/>
  <c r="K29" i="7"/>
  <c r="J29" i="7"/>
  <c r="L29" i="7" s="1"/>
  <c r="G29" i="7"/>
  <c r="Y28" i="7"/>
  <c r="X28" i="7"/>
  <c r="S28" i="7"/>
  <c r="R28" i="7"/>
  <c r="P28" i="7"/>
  <c r="N28" i="7"/>
  <c r="K28" i="7"/>
  <c r="J28" i="7"/>
  <c r="T28" i="7" s="1"/>
  <c r="Z28" i="7" s="1"/>
  <c r="G28" i="7"/>
  <c r="Y27" i="7"/>
  <c r="X27" i="7"/>
  <c r="S27" i="7"/>
  <c r="R27" i="7"/>
  <c r="P27" i="7"/>
  <c r="N27" i="7"/>
  <c r="K27" i="7"/>
  <c r="J27" i="7"/>
  <c r="L27" i="7" s="1"/>
  <c r="G27" i="7"/>
  <c r="Y26" i="7"/>
  <c r="X26" i="7"/>
  <c r="S26" i="7"/>
  <c r="R26" i="7"/>
  <c r="P26" i="7"/>
  <c r="N26" i="7"/>
  <c r="K26" i="7"/>
  <c r="G26" i="7"/>
  <c r="J26" i="7" s="1"/>
  <c r="T26" i="7" s="1"/>
  <c r="Z26" i="7" s="1"/>
  <c r="Y25" i="7"/>
  <c r="X25" i="7"/>
  <c r="S25" i="7"/>
  <c r="R25" i="7"/>
  <c r="P25" i="7"/>
  <c r="N25" i="7"/>
  <c r="K25" i="7"/>
  <c r="J25" i="7"/>
  <c r="L25" i="7" s="1"/>
  <c r="G25" i="7"/>
  <c r="Y24" i="7"/>
  <c r="X24" i="7"/>
  <c r="S24" i="7"/>
  <c r="R24" i="7"/>
  <c r="P24" i="7"/>
  <c r="N24" i="7"/>
  <c r="K24" i="7"/>
  <c r="G24" i="7"/>
  <c r="J24" i="7" s="1"/>
  <c r="T24" i="7" s="1"/>
  <c r="Z24" i="7" s="1"/>
  <c r="Y23" i="7"/>
  <c r="X23" i="7"/>
  <c r="S23" i="7"/>
  <c r="R23" i="7"/>
  <c r="T23" i="7" s="1"/>
  <c r="Z23" i="7" s="1"/>
  <c r="P23" i="7"/>
  <c r="N23" i="7"/>
  <c r="K23" i="7"/>
  <c r="J23" i="7"/>
  <c r="L23" i="7" s="1"/>
  <c r="G23" i="7"/>
  <c r="Y22" i="7"/>
  <c r="X22" i="7"/>
  <c r="T22" i="7"/>
  <c r="Z22" i="7" s="1"/>
  <c r="S22" i="7"/>
  <c r="R22" i="7"/>
  <c r="P22" i="7"/>
  <c r="N22" i="7"/>
  <c r="K22" i="7"/>
  <c r="L22" i="7" s="1"/>
  <c r="J22" i="7"/>
  <c r="G22" i="7"/>
  <c r="Y21" i="7"/>
  <c r="X21" i="7"/>
  <c r="S21" i="7"/>
  <c r="R21" i="7"/>
  <c r="T21" i="7" s="1"/>
  <c r="Z21" i="7" s="1"/>
  <c r="P21" i="7"/>
  <c r="N21" i="7"/>
  <c r="K21" i="7"/>
  <c r="G21" i="7"/>
  <c r="J21" i="7" s="1"/>
  <c r="L21" i="7" s="1"/>
  <c r="Y20" i="7"/>
  <c r="X20" i="7"/>
  <c r="S20" i="7"/>
  <c r="R20" i="7"/>
  <c r="P20" i="7"/>
  <c r="N20" i="7"/>
  <c r="K20" i="7"/>
  <c r="L20" i="7" s="1"/>
  <c r="J20" i="7"/>
  <c r="G20" i="7"/>
  <c r="Y19" i="7"/>
  <c r="X19" i="7"/>
  <c r="S19" i="7"/>
  <c r="R19" i="7"/>
  <c r="T19" i="7" s="1"/>
  <c r="Z19" i="7" s="1"/>
  <c r="P19" i="7"/>
  <c r="N19" i="7"/>
  <c r="K19" i="7"/>
  <c r="G19" i="7"/>
  <c r="J19" i="7" s="1"/>
  <c r="L19" i="7" s="1"/>
  <c r="Y18" i="7"/>
  <c r="X18" i="7"/>
  <c r="T18" i="7"/>
  <c r="Z18" i="7" s="1"/>
  <c r="S18" i="7"/>
  <c r="R18" i="7"/>
  <c r="P18" i="7"/>
  <c r="N18" i="7"/>
  <c r="K18" i="7"/>
  <c r="L18" i="7" s="1"/>
  <c r="J18" i="7"/>
  <c r="G18" i="7"/>
  <c r="Y17" i="7"/>
  <c r="X17" i="7"/>
  <c r="S17" i="7"/>
  <c r="R17" i="7"/>
  <c r="P17" i="7"/>
  <c r="N17" i="7"/>
  <c r="K17" i="7"/>
  <c r="G17" i="7"/>
  <c r="J17" i="7" s="1"/>
  <c r="L17" i="7" s="1"/>
  <c r="Y16" i="7"/>
  <c r="X16" i="7"/>
  <c r="S16" i="7"/>
  <c r="R16" i="7"/>
  <c r="P16" i="7"/>
  <c r="N16" i="7"/>
  <c r="K16" i="7"/>
  <c r="L16" i="7" s="1"/>
  <c r="J16" i="7"/>
  <c r="G16" i="7"/>
  <c r="Y15" i="7"/>
  <c r="X15" i="7"/>
  <c r="S15" i="7"/>
  <c r="R15" i="7"/>
  <c r="P15" i="7"/>
  <c r="N15" i="7"/>
  <c r="K15" i="7"/>
  <c r="G15" i="7"/>
  <c r="J15" i="7" s="1"/>
  <c r="L15" i="7" s="1"/>
  <c r="Y14" i="7"/>
  <c r="X14" i="7"/>
  <c r="T14" i="7"/>
  <c r="Z14" i="7" s="1"/>
  <c r="S14" i="7"/>
  <c r="R14" i="7"/>
  <c r="P14" i="7"/>
  <c r="N14" i="7"/>
  <c r="K14" i="7"/>
  <c r="L14" i="7" s="1"/>
  <c r="J14" i="7"/>
  <c r="G14" i="7"/>
  <c r="Y13" i="7"/>
  <c r="X13" i="7"/>
  <c r="S13" i="7"/>
  <c r="R13" i="7"/>
  <c r="P13" i="7"/>
  <c r="N13" i="7"/>
  <c r="K13" i="7"/>
  <c r="G13" i="7"/>
  <c r="J13" i="7" s="1"/>
  <c r="L13" i="7" s="1"/>
  <c r="Y12" i="7"/>
  <c r="X12" i="7"/>
  <c r="S12" i="7"/>
  <c r="R12" i="7"/>
  <c r="P12" i="7"/>
  <c r="N12" i="7"/>
  <c r="K12" i="7"/>
  <c r="L12" i="7" s="1"/>
  <c r="J12" i="7"/>
  <c r="G12" i="7"/>
  <c r="Y11" i="7"/>
  <c r="X11" i="7"/>
  <c r="S11" i="7"/>
  <c r="R11" i="7"/>
  <c r="T11" i="7" s="1"/>
  <c r="Z11" i="7" s="1"/>
  <c r="P11" i="7"/>
  <c r="N11" i="7"/>
  <c r="K11" i="7"/>
  <c r="G11" i="7"/>
  <c r="J11" i="7" s="1"/>
  <c r="Y10" i="7"/>
  <c r="X10" i="7"/>
  <c r="T10" i="7"/>
  <c r="Z10" i="7" s="1"/>
  <c r="S10" i="7"/>
  <c r="R10" i="7"/>
  <c r="P10" i="7"/>
  <c r="N10" i="7"/>
  <c r="K10" i="7"/>
  <c r="L10" i="7" s="1"/>
  <c r="J10" i="7"/>
  <c r="G10" i="7"/>
  <c r="Y9" i="7"/>
  <c r="X9" i="7"/>
  <c r="S9" i="7"/>
  <c r="R9" i="7"/>
  <c r="T9" i="7" s="1"/>
  <c r="Z9" i="7" s="1"/>
  <c r="P9" i="7"/>
  <c r="N9" i="7"/>
  <c r="K9" i="7"/>
  <c r="L9" i="7" s="1"/>
  <c r="G9" i="7"/>
  <c r="Z8" i="7"/>
  <c r="X8" i="7"/>
  <c r="T8" i="7"/>
  <c r="S8" i="7"/>
  <c r="Y8" i="7" s="1"/>
  <c r="R8" i="7"/>
  <c r="P8" i="7"/>
  <c r="N8" i="7"/>
  <c r="L8" i="7"/>
  <c r="K8" i="7"/>
  <c r="G8" i="7"/>
  <c r="X7" i="7"/>
  <c r="S7" i="7"/>
  <c r="Y7" i="7" s="1"/>
  <c r="R7" i="7"/>
  <c r="T7" i="7" s="1"/>
  <c r="Z7" i="7" s="1"/>
  <c r="P7" i="7"/>
  <c r="N7" i="7"/>
  <c r="L7" i="7"/>
  <c r="K7" i="7"/>
  <c r="G7" i="7"/>
  <c r="Y6" i="7"/>
  <c r="X6" i="7"/>
  <c r="S6" i="7"/>
  <c r="R6" i="7"/>
  <c r="T6" i="7" s="1"/>
  <c r="Z6" i="7" s="1"/>
  <c r="P6" i="7"/>
  <c r="N6" i="7"/>
  <c r="K6" i="7"/>
  <c r="L6" i="7" s="1"/>
  <c r="G6" i="7"/>
  <c r="Y5" i="7"/>
  <c r="X5" i="7"/>
  <c r="T5" i="7"/>
  <c r="Z5" i="7" s="1"/>
  <c r="S5" i="7"/>
  <c r="R5" i="7"/>
  <c r="P5" i="7"/>
  <c r="N5" i="7"/>
  <c r="K5" i="7"/>
  <c r="L5" i="7" s="1"/>
  <c r="G5" i="7"/>
  <c r="W28" i="6"/>
  <c r="AA28" i="6" s="1"/>
  <c r="R28" i="6"/>
  <c r="X28" i="6" s="1"/>
  <c r="AB28" i="6" s="1"/>
  <c r="Q28" i="6"/>
  <c r="O28" i="6"/>
  <c r="M28" i="6"/>
  <c r="J28" i="6"/>
  <c r="K28" i="6" s="1"/>
  <c r="I28" i="6"/>
  <c r="F28" i="6"/>
  <c r="AB27" i="6"/>
  <c r="AA27" i="6"/>
  <c r="W27" i="6"/>
  <c r="R27" i="6"/>
  <c r="X27" i="6" s="1"/>
  <c r="Q27" i="6"/>
  <c r="O27" i="6"/>
  <c r="M27" i="6"/>
  <c r="J27" i="6"/>
  <c r="F27" i="6"/>
  <c r="I27" i="6" s="1"/>
  <c r="AB26" i="6"/>
  <c r="X26" i="6"/>
  <c r="W26" i="6"/>
  <c r="AA26" i="6" s="1"/>
  <c r="R26" i="6"/>
  <c r="Q26" i="6"/>
  <c r="O26" i="6"/>
  <c r="M26" i="6"/>
  <c r="J26" i="6"/>
  <c r="F26" i="6"/>
  <c r="I26" i="6" s="1"/>
  <c r="W25" i="6"/>
  <c r="AA25" i="6" s="1"/>
  <c r="R25" i="6"/>
  <c r="X25" i="6" s="1"/>
  <c r="AB25" i="6" s="1"/>
  <c r="Q25" i="6"/>
  <c r="S25" i="6" s="1"/>
  <c r="Y25" i="6" s="1"/>
  <c r="O25" i="6"/>
  <c r="M25" i="6"/>
  <c r="J25" i="6"/>
  <c r="I25" i="6"/>
  <c r="K25" i="6" s="1"/>
  <c r="F25" i="6"/>
  <c r="AA24" i="6"/>
  <c r="W24" i="6"/>
  <c r="R24" i="6"/>
  <c r="X24" i="6" s="1"/>
  <c r="AB24" i="6" s="1"/>
  <c r="Q24" i="6"/>
  <c r="O24" i="6"/>
  <c r="M24" i="6"/>
  <c r="J24" i="6"/>
  <c r="K24" i="6" s="1"/>
  <c r="I24" i="6"/>
  <c r="F24" i="6"/>
  <c r="X23" i="6"/>
  <c r="AB23" i="6" s="1"/>
  <c r="W23" i="6"/>
  <c r="AA23" i="6" s="1"/>
  <c r="R23" i="6"/>
  <c r="Q23" i="6"/>
  <c r="O23" i="6"/>
  <c r="M23" i="6"/>
  <c r="J23" i="6"/>
  <c r="F23" i="6"/>
  <c r="I23" i="6" s="1"/>
  <c r="W22" i="6"/>
  <c r="AA22" i="6" s="1"/>
  <c r="R22" i="6"/>
  <c r="X22" i="6" s="1"/>
  <c r="AB22" i="6" s="1"/>
  <c r="Q22" i="6"/>
  <c r="S22" i="6" s="1"/>
  <c r="Y22" i="6" s="1"/>
  <c r="O22" i="6"/>
  <c r="M22" i="6"/>
  <c r="J22" i="6"/>
  <c r="K22" i="6" s="1"/>
  <c r="I22" i="6"/>
  <c r="F22" i="6"/>
  <c r="AB21" i="6"/>
  <c r="AA21" i="6"/>
  <c r="W21" i="6"/>
  <c r="R21" i="6"/>
  <c r="X21" i="6" s="1"/>
  <c r="Q21" i="6"/>
  <c r="S21" i="6" s="1"/>
  <c r="Y21" i="6" s="1"/>
  <c r="O21" i="6"/>
  <c r="M21" i="6"/>
  <c r="J21" i="6"/>
  <c r="F21" i="6"/>
  <c r="I21" i="6" s="1"/>
  <c r="X20" i="6"/>
  <c r="AB20" i="6" s="1"/>
  <c r="W20" i="6"/>
  <c r="AA20" i="6" s="1"/>
  <c r="R20" i="6"/>
  <c r="Q20" i="6"/>
  <c r="O20" i="6"/>
  <c r="M20" i="6"/>
  <c r="J20" i="6"/>
  <c r="F20" i="6"/>
  <c r="I20" i="6" s="1"/>
  <c r="W19" i="6"/>
  <c r="AA19" i="6" s="1"/>
  <c r="R19" i="6"/>
  <c r="X19" i="6" s="1"/>
  <c r="AB19" i="6" s="1"/>
  <c r="Q19" i="6"/>
  <c r="S19" i="6" s="1"/>
  <c r="Y19" i="6" s="1"/>
  <c r="O19" i="6"/>
  <c r="M19" i="6"/>
  <c r="J19" i="6"/>
  <c r="K19" i="6" s="1"/>
  <c r="I19" i="6"/>
  <c r="F19" i="6"/>
  <c r="AA18" i="6"/>
  <c r="W18" i="6"/>
  <c r="R18" i="6"/>
  <c r="X18" i="6" s="1"/>
  <c r="AB18" i="6" s="1"/>
  <c r="Q18" i="6"/>
  <c r="O18" i="6"/>
  <c r="M18" i="6"/>
  <c r="J18" i="6"/>
  <c r="F18" i="6"/>
  <c r="I18" i="6" s="1"/>
  <c r="S18" i="6" s="1"/>
  <c r="Y18" i="6" s="1"/>
  <c r="AA17" i="6"/>
  <c r="X17" i="6"/>
  <c r="AB17" i="6" s="1"/>
  <c r="W17" i="6"/>
  <c r="R17" i="6"/>
  <c r="Q17" i="6"/>
  <c r="S17" i="6" s="1"/>
  <c r="Y17" i="6" s="1"/>
  <c r="O17" i="6"/>
  <c r="M17" i="6"/>
  <c r="J17" i="6"/>
  <c r="K17" i="6" s="1"/>
  <c r="F17" i="6"/>
  <c r="I17" i="6" s="1"/>
  <c r="X16" i="6"/>
  <c r="AB16" i="6" s="1"/>
  <c r="W16" i="6"/>
  <c r="AA16" i="6" s="1"/>
  <c r="R16" i="6"/>
  <c r="Q16" i="6"/>
  <c r="O16" i="6"/>
  <c r="M16" i="6"/>
  <c r="J16" i="6"/>
  <c r="F16" i="6"/>
  <c r="I16" i="6" s="1"/>
  <c r="W15" i="6"/>
  <c r="AA15" i="6" s="1"/>
  <c r="R15" i="6"/>
  <c r="X15" i="6" s="1"/>
  <c r="AB15" i="6" s="1"/>
  <c r="Q15" i="6"/>
  <c r="S15" i="6" s="1"/>
  <c r="Y15" i="6" s="1"/>
  <c r="O15" i="6"/>
  <c r="M15" i="6"/>
  <c r="J15" i="6"/>
  <c r="K15" i="6" s="1"/>
  <c r="I15" i="6"/>
  <c r="F15" i="6"/>
  <c r="AA14" i="6"/>
  <c r="W14" i="6"/>
  <c r="R14" i="6"/>
  <c r="X14" i="6" s="1"/>
  <c r="AB14" i="6" s="1"/>
  <c r="Q14" i="6"/>
  <c r="O14" i="6"/>
  <c r="M14" i="6"/>
  <c r="J14" i="6"/>
  <c r="K14" i="6" s="1"/>
  <c r="F14" i="6"/>
  <c r="I14" i="6" s="1"/>
  <c r="S14" i="6" s="1"/>
  <c r="Y14" i="6" s="1"/>
  <c r="AA13" i="6"/>
  <c r="X13" i="6"/>
  <c r="AB13" i="6" s="1"/>
  <c r="W13" i="6"/>
  <c r="R13" i="6"/>
  <c r="Q13" i="6"/>
  <c r="S13" i="6" s="1"/>
  <c r="Y13" i="6" s="1"/>
  <c r="O13" i="6"/>
  <c r="M13" i="6"/>
  <c r="J13" i="6"/>
  <c r="F13" i="6"/>
  <c r="I13" i="6" s="1"/>
  <c r="X12" i="6"/>
  <c r="AB12" i="6" s="1"/>
  <c r="W12" i="6"/>
  <c r="AA12" i="6" s="1"/>
  <c r="R12" i="6"/>
  <c r="Q12" i="6"/>
  <c r="O12" i="6"/>
  <c r="M12" i="6"/>
  <c r="J12" i="6"/>
  <c r="F12" i="6"/>
  <c r="I12" i="6" s="1"/>
  <c r="W11" i="6"/>
  <c r="AA11" i="6" s="1"/>
  <c r="R11" i="6"/>
  <c r="X11" i="6" s="1"/>
  <c r="AB11" i="6" s="1"/>
  <c r="Q11" i="6"/>
  <c r="S11" i="6" s="1"/>
  <c r="Y11" i="6" s="1"/>
  <c r="O11" i="6"/>
  <c r="M11" i="6"/>
  <c r="J11" i="6"/>
  <c r="K11" i="6" s="1"/>
  <c r="I11" i="6"/>
  <c r="F11" i="6"/>
  <c r="AA10" i="6"/>
  <c r="W10" i="6"/>
  <c r="R10" i="6"/>
  <c r="X10" i="6" s="1"/>
  <c r="AB10" i="6" s="1"/>
  <c r="Q10" i="6"/>
  <c r="O10" i="6"/>
  <c r="M10" i="6"/>
  <c r="J10" i="6"/>
  <c r="F10" i="6"/>
  <c r="I10" i="6" s="1"/>
  <c r="S10" i="6" s="1"/>
  <c r="Y10" i="6" s="1"/>
  <c r="AA9" i="6"/>
  <c r="X9" i="6"/>
  <c r="AB9" i="6" s="1"/>
  <c r="W9" i="6"/>
  <c r="R9" i="6"/>
  <c r="Q9" i="6"/>
  <c r="O9" i="6"/>
  <c r="M9" i="6"/>
  <c r="J9" i="6"/>
  <c r="F9" i="6"/>
  <c r="I9" i="6" s="1"/>
  <c r="X8" i="6"/>
  <c r="AB8" i="6" s="1"/>
  <c r="W8" i="6"/>
  <c r="AA8" i="6" s="1"/>
  <c r="R8" i="6"/>
  <c r="Q8" i="6"/>
  <c r="O8" i="6"/>
  <c r="M8" i="6"/>
  <c r="J8" i="6"/>
  <c r="F8" i="6"/>
  <c r="I8" i="6" s="1"/>
  <c r="W7" i="6"/>
  <c r="AA7" i="6" s="1"/>
  <c r="R7" i="6"/>
  <c r="X7" i="6" s="1"/>
  <c r="AB7" i="6" s="1"/>
  <c r="Q7" i="6"/>
  <c r="S7" i="6" s="1"/>
  <c r="Y7" i="6" s="1"/>
  <c r="O7" i="6"/>
  <c r="M7" i="6"/>
  <c r="J7" i="6"/>
  <c r="K7" i="6" s="1"/>
  <c r="I7" i="6"/>
  <c r="F7" i="6"/>
  <c r="AA6" i="6"/>
  <c r="W6" i="6"/>
  <c r="R6" i="6"/>
  <c r="X6" i="6" s="1"/>
  <c r="AB6" i="6" s="1"/>
  <c r="Q6" i="6"/>
  <c r="O6" i="6"/>
  <c r="M6" i="6"/>
  <c r="J6" i="6"/>
  <c r="F6" i="6"/>
  <c r="I6" i="6" s="1"/>
  <c r="S6" i="6" s="1"/>
  <c r="Y6" i="6" s="1"/>
  <c r="AA5" i="6"/>
  <c r="X5" i="6"/>
  <c r="AB5" i="6" s="1"/>
  <c r="W5" i="6"/>
  <c r="R5" i="6"/>
  <c r="Q5" i="6"/>
  <c r="O5" i="6"/>
  <c r="M5" i="6"/>
  <c r="J5" i="6"/>
  <c r="F5" i="6"/>
  <c r="I5" i="6" s="1"/>
  <c r="W4" i="6"/>
  <c r="AA4" i="6" s="1"/>
  <c r="Q4" i="6"/>
  <c r="O4" i="6"/>
  <c r="M4" i="6"/>
  <c r="J4" i="6"/>
  <c r="F4" i="6"/>
  <c r="I4" i="6" s="1"/>
  <c r="W3" i="6"/>
  <c r="AA3" i="6" s="1"/>
  <c r="R3" i="6"/>
  <c r="X3" i="6" s="1"/>
  <c r="AB3" i="6" s="1"/>
  <c r="Q3" i="6"/>
  <c r="S3" i="6" s="1"/>
  <c r="Y3" i="6" s="1"/>
  <c r="O3" i="6"/>
  <c r="M3" i="6"/>
  <c r="J3" i="6"/>
  <c r="K3" i="6" s="1"/>
  <c r="I3" i="6"/>
  <c r="F3" i="6"/>
  <c r="AA2" i="6"/>
  <c r="W2" i="6"/>
  <c r="Q2" i="6"/>
  <c r="O2" i="6"/>
  <c r="M2" i="6"/>
  <c r="J2" i="6"/>
  <c r="S2" i="9" s="1"/>
  <c r="U118" i="13" s="1"/>
  <c r="F2" i="6"/>
  <c r="I2" i="6" s="1"/>
  <c r="G15" i="5"/>
  <c r="G4" i="5"/>
  <c r="B1" i="5"/>
  <c r="B19" i="5" s="1"/>
  <c r="Q50" i="3"/>
  <c r="P50" i="3"/>
  <c r="R50" i="3" s="1"/>
  <c r="N50" i="3"/>
  <c r="L50" i="3"/>
  <c r="Q49" i="3"/>
  <c r="P49" i="3"/>
  <c r="R49" i="3" s="1"/>
  <c r="N49" i="3"/>
  <c r="L49" i="3"/>
  <c r="R48" i="3"/>
  <c r="Q48" i="3"/>
  <c r="P48" i="3"/>
  <c r="N48" i="3"/>
  <c r="L48" i="3"/>
  <c r="Q47" i="3"/>
  <c r="P47" i="3"/>
  <c r="R47" i="3" s="1"/>
  <c r="N47" i="3"/>
  <c r="L47" i="3"/>
  <c r="Q46" i="3"/>
  <c r="P46" i="3"/>
  <c r="R46" i="3" s="1"/>
  <c r="N46" i="3"/>
  <c r="L46" i="3"/>
  <c r="R45" i="3"/>
  <c r="Q45" i="3"/>
  <c r="P45" i="3"/>
  <c r="N45" i="3"/>
  <c r="L45" i="3"/>
  <c r="R43" i="3"/>
  <c r="Q43" i="3"/>
  <c r="P43" i="3"/>
  <c r="N43" i="3"/>
  <c r="L43" i="3"/>
  <c r="Q42" i="3"/>
  <c r="P42" i="3"/>
  <c r="R42" i="3" s="1"/>
  <c r="N42" i="3"/>
  <c r="L42" i="3"/>
  <c r="Q41" i="3"/>
  <c r="P41" i="3"/>
  <c r="R41" i="3" s="1"/>
  <c r="N41" i="3"/>
  <c r="L41" i="3"/>
  <c r="Q40" i="3"/>
  <c r="P40" i="3"/>
  <c r="R40" i="3" s="1"/>
  <c r="N40" i="3"/>
  <c r="L40" i="3"/>
  <c r="R39" i="3"/>
  <c r="Q39" i="3"/>
  <c r="P39" i="3"/>
  <c r="N39" i="3"/>
  <c r="L39" i="3"/>
  <c r="Q38" i="3"/>
  <c r="P38" i="3"/>
  <c r="R38" i="3" s="1"/>
  <c r="N38" i="3"/>
  <c r="L38" i="3"/>
  <c r="Q36" i="3"/>
  <c r="P36" i="3"/>
  <c r="R36" i="3" s="1"/>
  <c r="N36" i="3"/>
  <c r="L36" i="3"/>
  <c r="R35" i="3"/>
  <c r="Q35" i="3"/>
  <c r="P35" i="3"/>
  <c r="N35" i="3"/>
  <c r="L35" i="3"/>
  <c r="R34" i="3"/>
  <c r="Q34" i="3"/>
  <c r="P34" i="3"/>
  <c r="N34" i="3"/>
  <c r="L34" i="3"/>
  <c r="Q33" i="3"/>
  <c r="P33" i="3"/>
  <c r="R33" i="3" s="1"/>
  <c r="N33" i="3"/>
  <c r="L33" i="3"/>
  <c r="Q32" i="3"/>
  <c r="P32" i="3"/>
  <c r="R32" i="3" s="1"/>
  <c r="N32" i="3"/>
  <c r="L32" i="3"/>
  <c r="Q31" i="3"/>
  <c r="P31" i="3"/>
  <c r="R31" i="3" s="1"/>
  <c r="N31" i="3"/>
  <c r="L31" i="3"/>
  <c r="V28" i="3"/>
  <c r="Q28" i="3"/>
  <c r="W28" i="3" s="1"/>
  <c r="P28" i="3"/>
  <c r="R28" i="3" s="1"/>
  <c r="X28" i="3" s="1"/>
  <c r="N28" i="3"/>
  <c r="L28" i="3"/>
  <c r="J28" i="3"/>
  <c r="F28" i="3"/>
  <c r="I28" i="3" s="1"/>
  <c r="V27" i="3"/>
  <c r="Q27" i="3"/>
  <c r="W27" i="3" s="1"/>
  <c r="P27" i="3"/>
  <c r="R27" i="3" s="1"/>
  <c r="X27" i="3" s="1"/>
  <c r="N27" i="3"/>
  <c r="L27" i="3"/>
  <c r="J27" i="3"/>
  <c r="I27" i="3"/>
  <c r="F27" i="3"/>
  <c r="W26" i="3"/>
  <c r="V26" i="3"/>
  <c r="Q26" i="3"/>
  <c r="P26" i="3"/>
  <c r="R26" i="3" s="1"/>
  <c r="X26" i="3" s="1"/>
  <c r="N26" i="3"/>
  <c r="L26" i="3"/>
  <c r="J26" i="3"/>
  <c r="F26" i="3"/>
  <c r="I26" i="3" s="1"/>
  <c r="V25" i="3"/>
  <c r="R25" i="3"/>
  <c r="X25" i="3" s="1"/>
  <c r="Q25" i="3"/>
  <c r="W25" i="3" s="1"/>
  <c r="P25" i="3"/>
  <c r="N25" i="3"/>
  <c r="L25" i="3"/>
  <c r="J25" i="3"/>
  <c r="F25" i="3"/>
  <c r="I25" i="3" s="1"/>
  <c r="V24" i="3"/>
  <c r="R24" i="3"/>
  <c r="X24" i="3" s="1"/>
  <c r="Q24" i="3"/>
  <c r="W24" i="3" s="1"/>
  <c r="P24" i="3"/>
  <c r="N24" i="3"/>
  <c r="L24" i="3"/>
  <c r="J24" i="3"/>
  <c r="I24" i="3"/>
  <c r="F24" i="3"/>
  <c r="W23" i="3"/>
  <c r="V23" i="3"/>
  <c r="Q23" i="3"/>
  <c r="P23" i="3"/>
  <c r="R23" i="3" s="1"/>
  <c r="X23" i="3" s="1"/>
  <c r="N23" i="3"/>
  <c r="L23" i="3"/>
  <c r="J23" i="3"/>
  <c r="I23" i="3"/>
  <c r="F23" i="3"/>
  <c r="V22" i="3"/>
  <c r="Q22" i="3"/>
  <c r="W22" i="3" s="1"/>
  <c r="P22" i="3"/>
  <c r="R22" i="3" s="1"/>
  <c r="X22" i="3" s="1"/>
  <c r="N22" i="3"/>
  <c r="L22" i="3"/>
  <c r="J22" i="3"/>
  <c r="F22" i="3"/>
  <c r="I22" i="3" s="1"/>
  <c r="W21" i="3"/>
  <c r="V21" i="3"/>
  <c r="R21" i="3"/>
  <c r="X21" i="3" s="1"/>
  <c r="Q21" i="3"/>
  <c r="P21" i="3"/>
  <c r="N21" i="3"/>
  <c r="L21" i="3"/>
  <c r="J21" i="3"/>
  <c r="F21" i="3"/>
  <c r="I21" i="3" s="1"/>
  <c r="V20" i="3"/>
  <c r="Q20" i="3"/>
  <c r="W20" i="3" s="1"/>
  <c r="P20" i="3"/>
  <c r="R20" i="3" s="1"/>
  <c r="X20" i="3" s="1"/>
  <c r="N20" i="3"/>
  <c r="L20" i="3"/>
  <c r="J20" i="3"/>
  <c r="I20" i="3"/>
  <c r="F20" i="3"/>
  <c r="V19" i="3"/>
  <c r="Q19" i="3"/>
  <c r="W19" i="3" s="1"/>
  <c r="P19" i="3"/>
  <c r="R19" i="3" s="1"/>
  <c r="X19" i="3" s="1"/>
  <c r="N19" i="3"/>
  <c r="L19" i="3"/>
  <c r="J19" i="3"/>
  <c r="I19" i="3"/>
  <c r="F19" i="3"/>
  <c r="W18" i="3"/>
  <c r="V18" i="3"/>
  <c r="Q18" i="3"/>
  <c r="P18" i="3"/>
  <c r="R18" i="3" s="1"/>
  <c r="X18" i="3" s="1"/>
  <c r="N18" i="3"/>
  <c r="L18" i="3"/>
  <c r="J18" i="3"/>
  <c r="F18" i="3"/>
  <c r="I18" i="3" s="1"/>
  <c r="V17" i="3"/>
  <c r="R17" i="3"/>
  <c r="X17" i="3" s="1"/>
  <c r="Q17" i="3"/>
  <c r="W17" i="3" s="1"/>
  <c r="P17" i="3"/>
  <c r="N17" i="3"/>
  <c r="L17" i="3"/>
  <c r="J17" i="3"/>
  <c r="F17" i="3"/>
  <c r="I17" i="3" s="1"/>
  <c r="V16" i="3"/>
  <c r="R16" i="3"/>
  <c r="X16" i="3" s="1"/>
  <c r="Q16" i="3"/>
  <c r="W16" i="3" s="1"/>
  <c r="P16" i="3"/>
  <c r="N16" i="3"/>
  <c r="L16" i="3"/>
  <c r="J16" i="3"/>
  <c r="I16" i="3"/>
  <c r="F16" i="3"/>
  <c r="W15" i="3"/>
  <c r="V15" i="3"/>
  <c r="Q15" i="3"/>
  <c r="P15" i="3"/>
  <c r="R15" i="3" s="1"/>
  <c r="X15" i="3" s="1"/>
  <c r="N15" i="3"/>
  <c r="L15" i="3"/>
  <c r="J15" i="3"/>
  <c r="I15" i="3"/>
  <c r="F15" i="3"/>
  <c r="V14" i="3"/>
  <c r="Q14" i="3"/>
  <c r="W14" i="3" s="1"/>
  <c r="P14" i="3"/>
  <c r="R14" i="3" s="1"/>
  <c r="X14" i="3" s="1"/>
  <c r="N14" i="3"/>
  <c r="L14" i="3"/>
  <c r="J14" i="3"/>
  <c r="F14" i="3"/>
  <c r="I14" i="3" s="1"/>
  <c r="W13" i="3"/>
  <c r="V13" i="3"/>
  <c r="R13" i="3"/>
  <c r="X13" i="3" s="1"/>
  <c r="Q13" i="3"/>
  <c r="P13" i="3"/>
  <c r="N13" i="3"/>
  <c r="L13" i="3"/>
  <c r="J13" i="3"/>
  <c r="F13" i="3"/>
  <c r="I13" i="3" s="1"/>
  <c r="V12" i="3"/>
  <c r="Q12" i="3"/>
  <c r="W12" i="3" s="1"/>
  <c r="P12" i="3"/>
  <c r="R12" i="3" s="1"/>
  <c r="X12" i="3" s="1"/>
  <c r="N12" i="3"/>
  <c r="L12" i="3"/>
  <c r="J12" i="3"/>
  <c r="F12" i="3"/>
  <c r="I12" i="3" s="1"/>
  <c r="V11" i="3"/>
  <c r="Q11" i="3"/>
  <c r="W11" i="3" s="1"/>
  <c r="P11" i="3"/>
  <c r="R11" i="3" s="1"/>
  <c r="X11" i="3" s="1"/>
  <c r="N11" i="3"/>
  <c r="L11" i="3"/>
  <c r="J11" i="3"/>
  <c r="I11" i="3"/>
  <c r="F11" i="3"/>
  <c r="W10" i="3"/>
  <c r="V10" i="3"/>
  <c r="Q10" i="3"/>
  <c r="P10" i="3"/>
  <c r="R10" i="3" s="1"/>
  <c r="X10" i="3" s="1"/>
  <c r="N10" i="3"/>
  <c r="L10" i="3"/>
  <c r="J10" i="3"/>
  <c r="F10" i="3"/>
  <c r="I10" i="3" s="1"/>
  <c r="V9" i="3"/>
  <c r="R9" i="3"/>
  <c r="X9" i="3" s="1"/>
  <c r="Q9" i="3"/>
  <c r="W9" i="3" s="1"/>
  <c r="P9" i="3"/>
  <c r="N9" i="3"/>
  <c r="L9" i="3"/>
  <c r="J9" i="3"/>
  <c r="F9" i="3"/>
  <c r="I9" i="3" s="1"/>
  <c r="V8" i="3"/>
  <c r="R8" i="3"/>
  <c r="X8" i="3" s="1"/>
  <c r="Q8" i="3"/>
  <c r="W8" i="3" s="1"/>
  <c r="P8" i="3"/>
  <c r="N8" i="3"/>
  <c r="L8" i="3"/>
  <c r="J8" i="3"/>
  <c r="I8" i="3"/>
  <c r="F8" i="3"/>
  <c r="W7" i="3"/>
  <c r="V7" i="3"/>
  <c r="Q7" i="3"/>
  <c r="P7" i="3"/>
  <c r="R7" i="3" s="1"/>
  <c r="X7" i="3" s="1"/>
  <c r="N7" i="3"/>
  <c r="L7" i="3"/>
  <c r="J7" i="3"/>
  <c r="I7" i="3"/>
  <c r="F7" i="3"/>
  <c r="V6" i="3"/>
  <c r="Q6" i="3"/>
  <c r="W6" i="3" s="1"/>
  <c r="P6" i="3"/>
  <c r="R6" i="3" s="1"/>
  <c r="X6" i="3" s="1"/>
  <c r="N6" i="3"/>
  <c r="L6" i="3"/>
  <c r="J6" i="3"/>
  <c r="F6" i="3"/>
  <c r="I6" i="3" s="1"/>
  <c r="W5" i="3"/>
  <c r="V5" i="3"/>
  <c r="R5" i="3"/>
  <c r="X5" i="3" s="1"/>
  <c r="Q5" i="3"/>
  <c r="P5" i="3"/>
  <c r="N5" i="3"/>
  <c r="L5" i="3"/>
  <c r="J5" i="3"/>
  <c r="F5" i="3"/>
  <c r="I5" i="3" s="1"/>
  <c r="V4" i="3"/>
  <c r="Q4" i="3"/>
  <c r="W4" i="3" s="1"/>
  <c r="P4" i="3"/>
  <c r="R4" i="3" s="1"/>
  <c r="X4" i="3" s="1"/>
  <c r="N4" i="3"/>
  <c r="L4" i="3"/>
  <c r="J4" i="3"/>
  <c r="I4" i="3"/>
  <c r="F4" i="3"/>
  <c r="V3" i="3"/>
  <c r="Q3" i="3"/>
  <c r="W3" i="3" s="1"/>
  <c r="P3" i="3"/>
  <c r="R3" i="3" s="1"/>
  <c r="X3" i="3" s="1"/>
  <c r="N3" i="3"/>
  <c r="L3" i="3"/>
  <c r="J3" i="3"/>
  <c r="I3" i="3"/>
  <c r="F3" i="3"/>
  <c r="V2" i="3"/>
  <c r="P2" i="3"/>
  <c r="N2" i="3"/>
  <c r="L2" i="3"/>
  <c r="J2" i="3"/>
  <c r="F2" i="3"/>
  <c r="I2" i="3" s="1"/>
  <c r="Q2" i="3" s="1"/>
  <c r="W2" i="3" s="1"/>
  <c r="B46" i="2"/>
  <c r="B40" i="2"/>
  <c r="A40" i="2"/>
  <c r="D46" i="2" s="1"/>
  <c r="H37" i="2"/>
  <c r="C46" i="2" s="1"/>
  <c r="B37" i="2"/>
  <c r="F14" i="2"/>
  <c r="B14" i="2"/>
  <c r="A14" i="2"/>
  <c r="B20" i="2" s="1"/>
  <c r="H11" i="2"/>
  <c r="C20" i="2" s="1"/>
  <c r="B11" i="2"/>
  <c r="B2" i="2"/>
  <c r="D3" i="2" s="1"/>
  <c r="B19" i="1"/>
  <c r="B8" i="1"/>
  <c r="B1" i="1"/>
  <c r="G15" i="1" s="1"/>
  <c r="S26" i="6" l="1"/>
  <c r="Y26" i="6" s="1"/>
  <c r="K26" i="6"/>
  <c r="R2" i="3"/>
  <c r="X2" i="3" s="1"/>
  <c r="S27" i="6"/>
  <c r="Y27" i="6" s="1"/>
  <c r="K27" i="6"/>
  <c r="K5" i="6"/>
  <c r="K8" i="6"/>
  <c r="S8" i="6"/>
  <c r="Y8" i="6" s="1"/>
  <c r="K4" i="6"/>
  <c r="S4" i="6"/>
  <c r="Y4" i="6" s="1"/>
  <c r="R4" i="6"/>
  <c r="X4" i="6" s="1"/>
  <c r="AB4" i="6" s="1"/>
  <c r="K6" i="6"/>
  <c r="K9" i="6"/>
  <c r="S12" i="6"/>
  <c r="Y12" i="6" s="1"/>
  <c r="K12" i="6"/>
  <c r="T13" i="7"/>
  <c r="Z13" i="7" s="1"/>
  <c r="R2" i="9"/>
  <c r="S2" i="6"/>
  <c r="Y2" i="6" s="1"/>
  <c r="R2" i="6"/>
  <c r="X2" i="6" s="1"/>
  <c r="AB2" i="6" s="1"/>
  <c r="K10" i="6"/>
  <c r="K13" i="6"/>
  <c r="K16" i="6"/>
  <c r="S16" i="6"/>
  <c r="Y16" i="6" s="1"/>
  <c r="S5" i="6"/>
  <c r="Y5" i="6" s="1"/>
  <c r="K20" i="6"/>
  <c r="S20" i="6"/>
  <c r="Y20" i="6" s="1"/>
  <c r="T15" i="7"/>
  <c r="Z15" i="7" s="1"/>
  <c r="S9" i="6"/>
  <c r="Y9" i="6" s="1"/>
  <c r="K18" i="6"/>
  <c r="K21" i="6"/>
  <c r="K23" i="6"/>
  <c r="S23" i="6"/>
  <c r="Y23" i="6" s="1"/>
  <c r="T17" i="7"/>
  <c r="Z17" i="7" s="1"/>
  <c r="T49" i="17"/>
  <c r="R49" i="17"/>
  <c r="S48" i="17"/>
  <c r="O49" i="17"/>
  <c r="O51" i="17" s="1"/>
  <c r="D20" i="2"/>
  <c r="A8" i="5"/>
  <c r="A19" i="5"/>
  <c r="L11" i="7"/>
  <c r="M6" i="9"/>
  <c r="P6" i="9" s="1"/>
  <c r="Q6" i="9" s="1"/>
  <c r="M10" i="9"/>
  <c r="P10" i="9" s="1"/>
  <c r="Q10" i="9" s="1"/>
  <c r="V11" i="9"/>
  <c r="E11" i="9"/>
  <c r="A8" i="1"/>
  <c r="A19" i="1"/>
  <c r="E20" i="2"/>
  <c r="E46" i="2"/>
  <c r="B8" i="5"/>
  <c r="K2" i="6"/>
  <c r="S28" i="6"/>
  <c r="Y28" i="6" s="1"/>
  <c r="L24" i="7"/>
  <c r="T27" i="7"/>
  <c r="Z27" i="7" s="1"/>
  <c r="T35" i="7"/>
  <c r="Z35" i="7" s="1"/>
  <c r="T50" i="7"/>
  <c r="Z50" i="7" s="1"/>
  <c r="D21" i="11"/>
  <c r="B21" i="11"/>
  <c r="H17" i="11"/>
  <c r="S15" i="13"/>
  <c r="AB40" i="13" s="1"/>
  <c r="L108" i="13"/>
  <c r="O107" i="13"/>
  <c r="AO23" i="13" s="1"/>
  <c r="R106" i="13"/>
  <c r="AO47" i="13" s="1"/>
  <c r="O104" i="13"/>
  <c r="AO20" i="13" s="1"/>
  <c r="L101" i="13"/>
  <c r="O100" i="13"/>
  <c r="AM28" i="13" s="1"/>
  <c r="R99" i="13"/>
  <c r="AM52" i="13" s="1"/>
  <c r="L97" i="13"/>
  <c r="O96" i="13"/>
  <c r="AM24" i="13" s="1"/>
  <c r="O81" i="13"/>
  <c r="AK21" i="13" s="1"/>
  <c r="R80" i="13"/>
  <c r="AK45" i="13" s="1"/>
  <c r="L79" i="13"/>
  <c r="R78" i="13"/>
  <c r="AK43" i="13" s="1"/>
  <c r="O70" i="13"/>
  <c r="AI20" i="13" s="1"/>
  <c r="R68" i="13"/>
  <c r="AI43" i="13" s="1"/>
  <c r="O67" i="13"/>
  <c r="AI17" i="13" s="1"/>
  <c r="L62" i="13"/>
  <c r="L57" i="13"/>
  <c r="O53" i="13"/>
  <c r="AE22" i="13" s="1"/>
  <c r="O51" i="13"/>
  <c r="AE20" i="13" s="1"/>
  <c r="S112" i="13"/>
  <c r="AP53" i="13" s="1"/>
  <c r="P109" i="13"/>
  <c r="AP25" i="13" s="1"/>
  <c r="L107" i="13"/>
  <c r="O106" i="13"/>
  <c r="AO22" i="13" s="1"/>
  <c r="R105" i="13"/>
  <c r="AO46" i="13" s="1"/>
  <c r="L104" i="13"/>
  <c r="R103" i="13"/>
  <c r="AO44" i="13" s="1"/>
  <c r="L100" i="13"/>
  <c r="O99" i="13"/>
  <c r="AM27" i="13" s="1"/>
  <c r="R98" i="13"/>
  <c r="AM51" i="13" s="1"/>
  <c r="L96" i="13"/>
  <c r="S94" i="13"/>
  <c r="AN47" i="13" s="1"/>
  <c r="S86" i="13"/>
  <c r="AL51" i="13" s="1"/>
  <c r="L81" i="13"/>
  <c r="O80" i="13"/>
  <c r="AK20" i="13" s="1"/>
  <c r="O78" i="13"/>
  <c r="AK18" i="13" s="1"/>
  <c r="S74" i="13"/>
  <c r="AJ49" i="13" s="1"/>
  <c r="P71" i="13"/>
  <c r="AJ21" i="13" s="1"/>
  <c r="L70" i="13"/>
  <c r="R69" i="13"/>
  <c r="AI44" i="13" s="1"/>
  <c r="O68" i="13"/>
  <c r="AI18" i="13" s="1"/>
  <c r="L67" i="13"/>
  <c r="R60" i="13"/>
  <c r="AG44" i="13" s="1"/>
  <c r="L53" i="13"/>
  <c r="L51" i="13"/>
  <c r="R49" i="13"/>
  <c r="AE43" i="13" s="1"/>
  <c r="P120" i="13"/>
  <c r="L114" i="13"/>
  <c r="O113" i="13"/>
  <c r="AO29" i="13" s="1"/>
  <c r="R112" i="13"/>
  <c r="AO53" i="13" s="1"/>
  <c r="L110" i="13"/>
  <c r="O109" i="13"/>
  <c r="AO25" i="13" s="1"/>
  <c r="M106" i="13"/>
  <c r="P105" i="13"/>
  <c r="AP21" i="13" s="1"/>
  <c r="P103" i="13"/>
  <c r="AP19" i="13" s="1"/>
  <c r="M99" i="13"/>
  <c r="P98" i="13"/>
  <c r="AN26" i="13" s="1"/>
  <c r="O95" i="13"/>
  <c r="AM23" i="13" s="1"/>
  <c r="R94" i="13"/>
  <c r="AM47" i="13" s="1"/>
  <c r="O92" i="13"/>
  <c r="AM20" i="13" s="1"/>
  <c r="R86" i="13"/>
  <c r="AK51" i="13" s="1"/>
  <c r="L84" i="13"/>
  <c r="O83" i="13"/>
  <c r="AK23" i="13" s="1"/>
  <c r="R82" i="13"/>
  <c r="AK47" i="13" s="1"/>
  <c r="M80" i="13"/>
  <c r="M78" i="13"/>
  <c r="W78" i="13" s="1"/>
  <c r="W79" i="13" s="1"/>
  <c r="AB68" i="13" s="1"/>
  <c r="R74" i="13"/>
  <c r="AI49" i="13" s="1"/>
  <c r="L72" i="13"/>
  <c r="O71" i="13"/>
  <c r="AI21" i="13" s="1"/>
  <c r="P69" i="13"/>
  <c r="AJ19" i="13" s="1"/>
  <c r="L61" i="13"/>
  <c r="P60" i="13"/>
  <c r="AH19" i="13" s="1"/>
  <c r="O58" i="13"/>
  <c r="AG17" i="13" s="1"/>
  <c r="O56" i="13"/>
  <c r="AG15" i="13" s="1"/>
  <c r="O55" i="13"/>
  <c r="AG14" i="13" s="1"/>
  <c r="P126" i="13"/>
  <c r="M113" i="13"/>
  <c r="R108" i="13"/>
  <c r="AO49" i="13" s="1"/>
  <c r="L106" i="13"/>
  <c r="O105" i="13"/>
  <c r="AO21" i="13" s="1"/>
  <c r="O103" i="13"/>
  <c r="AO19" i="13" s="1"/>
  <c r="R101" i="13"/>
  <c r="AM54" i="13" s="1"/>
  <c r="L99" i="13"/>
  <c r="O98" i="13"/>
  <c r="AM26" i="13" s="1"/>
  <c r="R97" i="13"/>
  <c r="AM50" i="13" s="1"/>
  <c r="M95" i="13"/>
  <c r="M92" i="13"/>
  <c r="M83" i="13"/>
  <c r="L80" i="13"/>
  <c r="R79" i="13"/>
  <c r="AK44" i="13" s="1"/>
  <c r="L78" i="13"/>
  <c r="O69" i="13"/>
  <c r="AI19" i="13" s="1"/>
  <c r="L68" i="13"/>
  <c r="R62" i="13"/>
  <c r="AG46" i="13" s="1"/>
  <c r="O60" i="13"/>
  <c r="AG19" i="13" s="1"/>
  <c r="M58" i="13"/>
  <c r="R57" i="13"/>
  <c r="AG41" i="13" s="1"/>
  <c r="O49" i="13"/>
  <c r="AE18" i="13" s="1"/>
  <c r="P124" i="13"/>
  <c r="P119" i="13"/>
  <c r="S114" i="13"/>
  <c r="AP55" i="13" s="1"/>
  <c r="M112" i="13"/>
  <c r="S110" i="13"/>
  <c r="AP51" i="13" s="1"/>
  <c r="O108" i="13"/>
  <c r="AO24" i="13" s="1"/>
  <c r="R107" i="13"/>
  <c r="AO48" i="13" s="1"/>
  <c r="L105" i="13"/>
  <c r="R104" i="13"/>
  <c r="AO45" i="13" s="1"/>
  <c r="L103" i="13"/>
  <c r="O101" i="13"/>
  <c r="AM29" i="13" s="1"/>
  <c r="R100" i="13"/>
  <c r="AM53" i="13" s="1"/>
  <c r="L98" i="13"/>
  <c r="O97" i="13"/>
  <c r="AM25" i="13" s="1"/>
  <c r="R96" i="13"/>
  <c r="AM49" i="13" s="1"/>
  <c r="M94" i="13"/>
  <c r="P93" i="13"/>
  <c r="AN21" i="13" s="1"/>
  <c r="P91" i="13"/>
  <c r="AN19" i="13" s="1"/>
  <c r="M86" i="13"/>
  <c r="P85" i="13"/>
  <c r="AL25" i="13" s="1"/>
  <c r="S84" i="13"/>
  <c r="AL49" i="13" s="1"/>
  <c r="M82" i="13"/>
  <c r="R81" i="13"/>
  <c r="AK46" i="13" s="1"/>
  <c r="O79" i="13"/>
  <c r="AK19" i="13" s="1"/>
  <c r="M74" i="13"/>
  <c r="P73" i="13"/>
  <c r="AJ23" i="13" s="1"/>
  <c r="S72" i="13"/>
  <c r="AJ47" i="13" s="1"/>
  <c r="R70" i="13"/>
  <c r="AI45" i="13" s="1"/>
  <c r="L69" i="13"/>
  <c r="R67" i="13"/>
  <c r="AI42" i="13" s="1"/>
  <c r="O62" i="13"/>
  <c r="AG21" i="13" s="1"/>
  <c r="S61" i="13"/>
  <c r="AH45" i="13" s="1"/>
  <c r="L60" i="13"/>
  <c r="P59" i="13"/>
  <c r="AH18" i="13" s="1"/>
  <c r="R114" i="13"/>
  <c r="AO55" i="13" s="1"/>
  <c r="L112" i="13"/>
  <c r="O111" i="13"/>
  <c r="AO27" i="13" s="1"/>
  <c r="R110" i="13"/>
  <c r="AO51" i="13" s="1"/>
  <c r="P107" i="13"/>
  <c r="AP23" i="13" s="1"/>
  <c r="P104" i="13"/>
  <c r="AP20" i="13" s="1"/>
  <c r="P100" i="13"/>
  <c r="AN28" i="13" s="1"/>
  <c r="L94" i="13"/>
  <c r="O93" i="13"/>
  <c r="AM21" i="13" s="1"/>
  <c r="O91" i="13"/>
  <c r="AM19" i="13" s="1"/>
  <c r="L86" i="13"/>
  <c r="O85" i="13"/>
  <c r="AK25" i="13" s="1"/>
  <c r="R84" i="13"/>
  <c r="AK49" i="13" s="1"/>
  <c r="L82" i="13"/>
  <c r="P81" i="13"/>
  <c r="AL21" i="13" s="1"/>
  <c r="L74" i="13"/>
  <c r="O73" i="13"/>
  <c r="AI23" i="13" s="1"/>
  <c r="R72" i="13"/>
  <c r="AI47" i="13" s="1"/>
  <c r="P70" i="13"/>
  <c r="AJ20" i="13" s="1"/>
  <c r="P67" i="13"/>
  <c r="AJ17" i="13" s="1"/>
  <c r="R61" i="13"/>
  <c r="AG45" i="13" s="1"/>
  <c r="O59" i="13"/>
  <c r="AG18" i="13" s="1"/>
  <c r="P53" i="13"/>
  <c r="AF22" i="13" s="1"/>
  <c r="O52" i="13"/>
  <c r="AE21" i="13" s="1"/>
  <c r="P51" i="13"/>
  <c r="AF20" i="13" s="1"/>
  <c r="R50" i="13"/>
  <c r="AE44" i="13" s="1"/>
  <c r="L109" i="13"/>
  <c r="P101" i="13"/>
  <c r="AN29" i="13" s="1"/>
  <c r="S98" i="13"/>
  <c r="AN51" i="13" s="1"/>
  <c r="O94" i="13"/>
  <c r="AM22" i="13" s="1"/>
  <c r="O84" i="13"/>
  <c r="AK24" i="13" s="1"/>
  <c r="S70" i="13"/>
  <c r="AJ45" i="13" s="1"/>
  <c r="S53" i="13"/>
  <c r="AF47" i="13" s="1"/>
  <c r="P49" i="13"/>
  <c r="AF18" i="13" s="1"/>
  <c r="L48" i="13"/>
  <c r="R45" i="13"/>
  <c r="AE39" i="13" s="1"/>
  <c r="L41" i="13"/>
  <c r="R37" i="13"/>
  <c r="AC46" i="13" s="1"/>
  <c r="R30" i="13"/>
  <c r="AC39" i="13" s="1"/>
  <c r="L27" i="13"/>
  <c r="L25" i="13"/>
  <c r="R113" i="13"/>
  <c r="AO54" i="13" s="1"/>
  <c r="P106" i="13"/>
  <c r="AP22" i="13" s="1"/>
  <c r="S81" i="13"/>
  <c r="AL46" i="13" s="1"/>
  <c r="O74" i="13"/>
  <c r="AI24" i="13" s="1"/>
  <c r="R71" i="13"/>
  <c r="AI46" i="13" s="1"/>
  <c r="P57" i="13"/>
  <c r="AH16" i="13" s="1"/>
  <c r="R53" i="13"/>
  <c r="AE47" i="13" s="1"/>
  <c r="R52" i="13"/>
  <c r="AE46" i="13" s="1"/>
  <c r="R47" i="13"/>
  <c r="AE41" i="13" s="1"/>
  <c r="L46" i="13"/>
  <c r="O42" i="13"/>
  <c r="AE11" i="13" s="1"/>
  <c r="R40" i="13"/>
  <c r="AE34" i="13" s="1"/>
  <c r="AE56" i="13" s="1"/>
  <c r="R36" i="13"/>
  <c r="AC45" i="13" s="1"/>
  <c r="R33" i="13"/>
  <c r="AC42" i="13" s="1"/>
  <c r="L31" i="13"/>
  <c r="L113" i="13"/>
  <c r="O110" i="13"/>
  <c r="AO26" i="13" s="1"/>
  <c r="S103" i="13"/>
  <c r="AP44" i="13" s="1"/>
  <c r="R95" i="13"/>
  <c r="AM48" i="13" s="1"/>
  <c r="R85" i="13"/>
  <c r="AK50" i="13" s="1"/>
  <c r="L71" i="13"/>
  <c r="R59" i="13"/>
  <c r="AG43" i="13" s="1"/>
  <c r="R58" i="13"/>
  <c r="AG42" i="13" s="1"/>
  <c r="O57" i="13"/>
  <c r="AG16" i="13" s="1"/>
  <c r="P52" i="13"/>
  <c r="AF21" i="13" s="1"/>
  <c r="L49" i="13"/>
  <c r="P47" i="13"/>
  <c r="AF16" i="13" s="1"/>
  <c r="O45" i="13"/>
  <c r="AE14" i="13" s="1"/>
  <c r="S44" i="13"/>
  <c r="AF38" i="13" s="1"/>
  <c r="R43" i="13"/>
  <c r="AE37" i="13" s="1"/>
  <c r="M42" i="13"/>
  <c r="O37" i="13"/>
  <c r="AC21" i="13" s="1"/>
  <c r="R35" i="13"/>
  <c r="AC44" i="13" s="1"/>
  <c r="S34" i="13"/>
  <c r="AD43" i="13" s="1"/>
  <c r="S32" i="13"/>
  <c r="AD41" i="13" s="1"/>
  <c r="O30" i="13"/>
  <c r="AC14" i="13" s="1"/>
  <c r="R29" i="13"/>
  <c r="AC38" i="13" s="1"/>
  <c r="S28" i="13"/>
  <c r="AD37" i="13" s="1"/>
  <c r="S26" i="13"/>
  <c r="AD35" i="13" s="1"/>
  <c r="P118" i="13"/>
  <c r="S107" i="13"/>
  <c r="AP48" i="13" s="1"/>
  <c r="P99" i="13"/>
  <c r="AN27" i="13" s="1"/>
  <c r="S96" i="13"/>
  <c r="AN49" i="13" s="1"/>
  <c r="L95" i="13"/>
  <c r="R91" i="13"/>
  <c r="AM44" i="13" s="1"/>
  <c r="L85" i="13"/>
  <c r="O82" i="13"/>
  <c r="AK22" i="13" s="1"/>
  <c r="P78" i="13"/>
  <c r="AL18" i="13" s="1"/>
  <c r="S67" i="13"/>
  <c r="AJ42" i="13" s="1"/>
  <c r="S60" i="13"/>
  <c r="AH44" i="13" s="1"/>
  <c r="L59" i="13"/>
  <c r="L58" i="13"/>
  <c r="L52" i="13"/>
  <c r="S51" i="13"/>
  <c r="AF45" i="13" s="1"/>
  <c r="O47" i="13"/>
  <c r="AE16" i="13" s="1"/>
  <c r="R44" i="13"/>
  <c r="AE38" i="13" s="1"/>
  <c r="P43" i="13"/>
  <c r="AF12" i="13" s="1"/>
  <c r="L42" i="13"/>
  <c r="S41" i="13"/>
  <c r="AF35" i="13" s="1"/>
  <c r="O40" i="13"/>
  <c r="AE9" i="13" s="1"/>
  <c r="O36" i="13"/>
  <c r="AC20" i="13" s="1"/>
  <c r="P35" i="13"/>
  <c r="AD19" i="13" s="1"/>
  <c r="R34" i="13"/>
  <c r="AC43" i="13" s="1"/>
  <c r="O33" i="13"/>
  <c r="AC17" i="13" s="1"/>
  <c r="R32" i="13"/>
  <c r="AC41" i="13" s="1"/>
  <c r="M30" i="13"/>
  <c r="P29" i="13"/>
  <c r="AD13" i="13" s="1"/>
  <c r="R28" i="13"/>
  <c r="AC37" i="13" s="1"/>
  <c r="R26" i="13"/>
  <c r="AC35" i="13" s="1"/>
  <c r="R24" i="13"/>
  <c r="AC33" i="13" s="1"/>
  <c r="O114" i="13"/>
  <c r="AO30" i="13" s="1"/>
  <c r="R111" i="13"/>
  <c r="AO52" i="13" s="1"/>
  <c r="S104" i="13"/>
  <c r="AP45" i="13" s="1"/>
  <c r="M96" i="13"/>
  <c r="R92" i="13"/>
  <c r="AM45" i="13" s="1"/>
  <c r="L91" i="13"/>
  <c r="O72" i="13"/>
  <c r="AI22" i="13" s="1"/>
  <c r="R51" i="13"/>
  <c r="AE45" i="13" s="1"/>
  <c r="S50" i="13"/>
  <c r="AF44" i="13" s="1"/>
  <c r="S48" i="13"/>
  <c r="AF42" i="13" s="1"/>
  <c r="M47" i="13"/>
  <c r="S46" i="13"/>
  <c r="AF40" i="13" s="1"/>
  <c r="L45" i="13"/>
  <c r="P44" i="13"/>
  <c r="AF13" i="13" s="1"/>
  <c r="O43" i="13"/>
  <c r="AE12" i="13" s="1"/>
  <c r="R41" i="13"/>
  <c r="AE35" i="13" s="1"/>
  <c r="M40" i="13"/>
  <c r="L37" i="13"/>
  <c r="M36" i="13"/>
  <c r="O35" i="13"/>
  <c r="AC19" i="13" s="1"/>
  <c r="P34" i="13"/>
  <c r="AD18" i="13" s="1"/>
  <c r="M33" i="13"/>
  <c r="P32" i="13"/>
  <c r="AD16" i="13" s="1"/>
  <c r="S31" i="13"/>
  <c r="AD40" i="13" s="1"/>
  <c r="L30" i="13"/>
  <c r="O29" i="13"/>
  <c r="AC13" i="13" s="1"/>
  <c r="P28" i="13"/>
  <c r="AD12" i="13" s="1"/>
  <c r="P108" i="13"/>
  <c r="AP24" i="13" s="1"/>
  <c r="S105" i="13"/>
  <c r="AP46" i="13" s="1"/>
  <c r="M100" i="13"/>
  <c r="P97" i="13"/>
  <c r="AN25" i="13" s="1"/>
  <c r="L93" i="13"/>
  <c r="L83" i="13"/>
  <c r="R73" i="13"/>
  <c r="AI48" i="13" s="1"/>
  <c r="S69" i="13"/>
  <c r="AJ44" i="13" s="1"/>
  <c r="L56" i="13"/>
  <c r="R55" i="13"/>
  <c r="AG39" i="13" s="1"/>
  <c r="L50" i="13"/>
  <c r="L43" i="13"/>
  <c r="O41" i="13"/>
  <c r="AE10" i="13" s="1"/>
  <c r="L35" i="13"/>
  <c r="M34" i="13"/>
  <c r="M32" i="13"/>
  <c r="P31" i="13"/>
  <c r="AD15" i="13" s="1"/>
  <c r="L29" i="13"/>
  <c r="O27" i="13"/>
  <c r="AC11" i="13" s="1"/>
  <c r="O25" i="13"/>
  <c r="AC9" i="13" s="1"/>
  <c r="P125" i="13"/>
  <c r="O112" i="13"/>
  <c r="AO28" i="13" s="1"/>
  <c r="R109" i="13"/>
  <c r="AO50" i="13" s="1"/>
  <c r="M105" i="13"/>
  <c r="P80" i="13"/>
  <c r="AL20" i="13" s="1"/>
  <c r="L73" i="13"/>
  <c r="M69" i="13"/>
  <c r="P62" i="13"/>
  <c r="AH21" i="13" s="1"/>
  <c r="L55" i="13"/>
  <c r="S49" i="13"/>
  <c r="AF43" i="13" s="1"/>
  <c r="O48" i="13"/>
  <c r="AE17" i="13" s="1"/>
  <c r="O46" i="13"/>
  <c r="AE15" i="13" s="1"/>
  <c r="L44" i="13"/>
  <c r="R42" i="13"/>
  <c r="AE36" i="13" s="1"/>
  <c r="M41" i="13"/>
  <c r="R93" i="13"/>
  <c r="AM46" i="13" s="1"/>
  <c r="M43" i="13"/>
  <c r="O32" i="13"/>
  <c r="AC16" i="13" s="1"/>
  <c r="S24" i="13"/>
  <c r="AD33" i="13" s="1"/>
  <c r="O20" i="13"/>
  <c r="AA20" i="13" s="1"/>
  <c r="R18" i="13"/>
  <c r="AA43" i="13" s="1"/>
  <c r="L16" i="13"/>
  <c r="O14" i="13"/>
  <c r="AA14" i="13" s="1"/>
  <c r="R11" i="13"/>
  <c r="AA36" i="13" s="1"/>
  <c r="L9" i="13"/>
  <c r="R8" i="13"/>
  <c r="AA33" i="13" s="1"/>
  <c r="P79" i="13"/>
  <c r="AL19" i="13" s="1"/>
  <c r="R56" i="13"/>
  <c r="AG40" i="13" s="1"/>
  <c r="O44" i="13"/>
  <c r="AE13" i="13" s="1"/>
  <c r="L32" i="13"/>
  <c r="M29" i="13"/>
  <c r="P24" i="13"/>
  <c r="AD8" i="13" s="1"/>
  <c r="L21" i="13"/>
  <c r="O17" i="13"/>
  <c r="AA17" i="13" s="1"/>
  <c r="R15" i="13"/>
  <c r="AA40" i="13" s="1"/>
  <c r="L13" i="13"/>
  <c r="L12" i="13"/>
  <c r="S100" i="13"/>
  <c r="AN53" i="13" s="1"/>
  <c r="O86" i="13"/>
  <c r="AK26" i="13" s="1"/>
  <c r="O50" i="13"/>
  <c r="AE19" i="13" s="1"/>
  <c r="L40" i="13"/>
  <c r="O28" i="13"/>
  <c r="AC12" i="13" s="1"/>
  <c r="O24" i="13"/>
  <c r="AC8" i="13" s="1"/>
  <c r="L20" i="13"/>
  <c r="S19" i="13"/>
  <c r="AB44" i="13" s="1"/>
  <c r="O18" i="13"/>
  <c r="AA18" i="13" s="1"/>
  <c r="L14" i="13"/>
  <c r="O11" i="13"/>
  <c r="AA11" i="13" s="1"/>
  <c r="S10" i="13"/>
  <c r="AB35" i="13" s="1"/>
  <c r="O8" i="13"/>
  <c r="AA8" i="13" s="1"/>
  <c r="L47" i="13"/>
  <c r="R46" i="13"/>
  <c r="AE40" i="13" s="1"/>
  <c r="P41" i="13"/>
  <c r="AF10" i="13" s="1"/>
  <c r="L33" i="13"/>
  <c r="L28" i="13"/>
  <c r="L24" i="13"/>
  <c r="V24" i="13" s="1"/>
  <c r="V25" i="13" s="1"/>
  <c r="AA64" i="13" s="1"/>
  <c r="R19" i="13"/>
  <c r="AA44" i="13" s="1"/>
  <c r="L17" i="13"/>
  <c r="S16" i="13"/>
  <c r="AB41" i="13" s="1"/>
  <c r="O15" i="13"/>
  <c r="AA15" i="13" s="1"/>
  <c r="R10" i="13"/>
  <c r="AA35" i="13" s="1"/>
  <c r="S9" i="13"/>
  <c r="AB34" i="13" s="1"/>
  <c r="O61" i="13"/>
  <c r="AG20" i="13" s="1"/>
  <c r="R31" i="13"/>
  <c r="AC40" i="13" s="1"/>
  <c r="M27" i="13"/>
  <c r="L26" i="13"/>
  <c r="M25" i="13"/>
  <c r="P21" i="13"/>
  <c r="AB21" i="13" s="1"/>
  <c r="R20" i="13"/>
  <c r="AA45" i="13" s="1"/>
  <c r="M19" i="13"/>
  <c r="O16" i="13"/>
  <c r="AA16" i="13" s="1"/>
  <c r="R14" i="13"/>
  <c r="AA39" i="13" s="1"/>
  <c r="P12" i="13"/>
  <c r="AB12" i="13" s="1"/>
  <c r="M10" i="13"/>
  <c r="O9" i="13"/>
  <c r="AA9" i="13" s="1"/>
  <c r="L111" i="13"/>
  <c r="R83" i="13"/>
  <c r="AK48" i="13" s="1"/>
  <c r="O31" i="13"/>
  <c r="AC15" i="13" s="1"/>
  <c r="S30" i="13"/>
  <c r="AD39" i="13" s="1"/>
  <c r="O21" i="13"/>
  <c r="AA21" i="13" s="1"/>
  <c r="L19" i="13"/>
  <c r="R17" i="13"/>
  <c r="AA42" i="13" s="1"/>
  <c r="M16" i="13"/>
  <c r="O13" i="13"/>
  <c r="AA13" i="13" s="1"/>
  <c r="O12" i="13"/>
  <c r="AA12" i="13" s="1"/>
  <c r="L10" i="13"/>
  <c r="M9" i="13"/>
  <c r="O34" i="13"/>
  <c r="AC18" i="13" s="1"/>
  <c r="O10" i="13"/>
  <c r="AA10" i="13" s="1"/>
  <c r="R48" i="13"/>
  <c r="AE42" i="13" s="1"/>
  <c r="L34" i="13"/>
  <c r="S21" i="13"/>
  <c r="AB46" i="13" s="1"/>
  <c r="S20" i="13"/>
  <c r="AB45" i="13" s="1"/>
  <c r="S14" i="13"/>
  <c r="AB39" i="13" s="1"/>
  <c r="S12" i="13"/>
  <c r="AB37" i="13" s="1"/>
  <c r="L92" i="13"/>
  <c r="M35" i="13"/>
  <c r="R21" i="13"/>
  <c r="AA46" i="13" s="1"/>
  <c r="R12" i="13"/>
  <c r="AA37" i="13" s="1"/>
  <c r="R9" i="13"/>
  <c r="AA34" i="13" s="1"/>
  <c r="P19" i="13"/>
  <c r="AB19" i="13" s="1"/>
  <c r="L18" i="13"/>
  <c r="M15" i="13"/>
  <c r="P9" i="13"/>
  <c r="AB9" i="13" s="1"/>
  <c r="M104" i="13"/>
  <c r="M51" i="13"/>
  <c r="L36" i="13"/>
  <c r="R27" i="13"/>
  <c r="AC36" i="13" s="1"/>
  <c r="P26" i="13"/>
  <c r="AD10" i="13" s="1"/>
  <c r="R25" i="13"/>
  <c r="AC34" i="13" s="1"/>
  <c r="O19" i="13"/>
  <c r="AA19" i="13" s="1"/>
  <c r="R16" i="13"/>
  <c r="AA41" i="13" s="1"/>
  <c r="L15" i="13"/>
  <c r="S13" i="13"/>
  <c r="AB38" i="13" s="1"/>
  <c r="P68" i="13"/>
  <c r="AJ18" i="13" s="1"/>
  <c r="L8" i="13"/>
  <c r="P10" i="13"/>
  <c r="AB10" i="13" s="1"/>
  <c r="L11" i="13"/>
  <c r="R13" i="13"/>
  <c r="AA38" i="13" s="1"/>
  <c r="M21" i="13"/>
  <c r="P27" i="13"/>
  <c r="AD11" i="13" s="1"/>
  <c r="L26" i="7"/>
  <c r="M3" i="9"/>
  <c r="P3" i="9" s="1"/>
  <c r="Q3" i="9" s="1"/>
  <c r="M8" i="9"/>
  <c r="P8" i="9" s="1"/>
  <c r="Q8" i="9" s="1"/>
  <c r="D6" i="10"/>
  <c r="E6" i="10" s="1"/>
  <c r="E3" i="10"/>
  <c r="M4" i="9"/>
  <c r="P4" i="9" s="1"/>
  <c r="Q4" i="9" s="1"/>
  <c r="U117" i="13"/>
  <c r="U15" i="9"/>
  <c r="T25" i="7"/>
  <c r="Z25" i="7" s="1"/>
  <c r="T31" i="7"/>
  <c r="Z31" i="7" s="1"/>
  <c r="T43" i="7"/>
  <c r="Z43" i="7" s="1"/>
  <c r="M5" i="9"/>
  <c r="P5" i="9" s="1"/>
  <c r="Q5" i="9" s="1"/>
  <c r="M9" i="9"/>
  <c r="P9" i="9" s="1"/>
  <c r="Q9" i="9" s="1"/>
  <c r="P18" i="13"/>
  <c r="AB18" i="13" s="1"/>
  <c r="O26" i="13"/>
  <c r="AC10" i="13" s="1"/>
  <c r="M7" i="9"/>
  <c r="P7" i="9" s="1"/>
  <c r="Q7" i="9" s="1"/>
  <c r="P16" i="13"/>
  <c r="AB16" i="13" s="1"/>
  <c r="L43" i="7"/>
  <c r="S24" i="6"/>
  <c r="Y24" i="6" s="1"/>
  <c r="G4" i="1"/>
  <c r="T12" i="7"/>
  <c r="Z12" i="7" s="1"/>
  <c r="T16" i="7"/>
  <c r="Z16" i="7" s="1"/>
  <c r="T20" i="7"/>
  <c r="Z20" i="7" s="1"/>
  <c r="L28" i="7"/>
  <c r="T32" i="7"/>
  <c r="Z32" i="7" s="1"/>
  <c r="T116" i="13"/>
  <c r="D10" i="11"/>
  <c r="B10" i="11"/>
  <c r="H6" i="11"/>
  <c r="M12" i="13"/>
  <c r="M44" i="13"/>
  <c r="D5" i="9"/>
  <c r="U13" i="9"/>
  <c r="G15" i="11"/>
  <c r="H17" i="12"/>
  <c r="Q126" i="13"/>
  <c r="Q122" i="13"/>
  <c r="Q119" i="13"/>
  <c r="Q124" i="13"/>
  <c r="S8" i="13"/>
  <c r="AB33" i="13" s="1"/>
  <c r="P11" i="13"/>
  <c r="AB11" i="13" s="1"/>
  <c r="Z24" i="13"/>
  <c r="AZ23" i="13"/>
  <c r="AZ22" i="13"/>
  <c r="P33" i="13"/>
  <c r="AD17" i="13" s="1"/>
  <c r="S47" i="13"/>
  <c r="AF41" i="13" s="1"/>
  <c r="S11" i="13"/>
  <c r="AB36" i="13" s="1"/>
  <c r="P15" i="13"/>
  <c r="AB15" i="13" s="1"/>
  <c r="M18" i="13"/>
  <c r="S33" i="13"/>
  <c r="AD42" i="13" s="1"/>
  <c r="Z46" i="13"/>
  <c r="BR20" i="13"/>
  <c r="P40" i="13"/>
  <c r="AF9" i="13" s="1"/>
  <c r="T14" i="9"/>
  <c r="M14" i="13"/>
  <c r="S18" i="13"/>
  <c r="AB43" i="13" s="1"/>
  <c r="M20" i="13"/>
  <c r="P46" i="13"/>
  <c r="AF15" i="13" s="1"/>
  <c r="B8" i="12"/>
  <c r="C10" i="12" s="1"/>
  <c r="P14" i="13"/>
  <c r="AB14" i="13" s="1"/>
  <c r="P20" i="13"/>
  <c r="AB20" i="13" s="1"/>
  <c r="J168" i="13"/>
  <c r="S35" i="13"/>
  <c r="AD44" i="13" s="1"/>
  <c r="M98" i="13"/>
  <c r="M17" i="13"/>
  <c r="M8" i="13"/>
  <c r="M13" i="13"/>
  <c r="P17" i="13"/>
  <c r="AB17" i="13" s="1"/>
  <c r="M45" i="13"/>
  <c r="P8" i="13"/>
  <c r="AB8" i="13" s="1"/>
  <c r="M11" i="13"/>
  <c r="P13" i="13"/>
  <c r="AB13" i="13" s="1"/>
  <c r="S17" i="13"/>
  <c r="AB42" i="13" s="1"/>
  <c r="P45" i="13"/>
  <c r="AF14" i="13" s="1"/>
  <c r="S82" i="13"/>
  <c r="AL47" i="13" s="1"/>
  <c r="S25" i="13"/>
  <c r="AD34" i="13" s="1"/>
  <c r="S27" i="13"/>
  <c r="AD36" i="13" s="1"/>
  <c r="P36" i="13"/>
  <c r="AD20" i="13" s="1"/>
  <c r="P42" i="13"/>
  <c r="AF11" i="13" s="1"/>
  <c r="M53" i="13"/>
  <c r="Q120" i="13"/>
  <c r="Q121" i="13"/>
  <c r="P121" i="13"/>
  <c r="M24" i="13"/>
  <c r="M28" i="13"/>
  <c r="S36" i="13"/>
  <c r="AD45" i="13" s="1"/>
  <c r="S42" i="13"/>
  <c r="AF36" i="13" s="1"/>
  <c r="M46" i="13"/>
  <c r="P48" i="13"/>
  <c r="AF17" i="13" s="1"/>
  <c r="M57" i="13"/>
  <c r="M70" i="13"/>
  <c r="M110" i="13"/>
  <c r="S40" i="13"/>
  <c r="AF34" i="13" s="1"/>
  <c r="S45" i="13"/>
  <c r="AF39" i="13" s="1"/>
  <c r="M67" i="13"/>
  <c r="M81" i="13"/>
  <c r="M107" i="13"/>
  <c r="S29" i="13"/>
  <c r="AD38" i="13" s="1"/>
  <c r="P30" i="13"/>
  <c r="AD14" i="13" s="1"/>
  <c r="M31" i="13"/>
  <c r="M37" i="13"/>
  <c r="M49" i="13"/>
  <c r="S59" i="13"/>
  <c r="AH43" i="13" s="1"/>
  <c r="AZ21" i="13"/>
  <c r="M26" i="13"/>
  <c r="P37" i="13"/>
  <c r="AD21" i="13" s="1"/>
  <c r="S43" i="13"/>
  <c r="AF37" i="13" s="1"/>
  <c r="P95" i="13"/>
  <c r="AN23" i="13" s="1"/>
  <c r="S37" i="13"/>
  <c r="AD46" i="13" s="1"/>
  <c r="P58" i="13"/>
  <c r="AH17" i="13" s="1"/>
  <c r="S56" i="13"/>
  <c r="AH40" i="13" s="1"/>
  <c r="M59" i="13"/>
  <c r="P61" i="13"/>
  <c r="AH20" i="13" s="1"/>
  <c r="M72" i="13"/>
  <c r="S83" i="13"/>
  <c r="AL48" i="13" s="1"/>
  <c r="P86" i="13"/>
  <c r="AL26" i="13" s="1"/>
  <c r="M91" i="13"/>
  <c r="P92" i="13"/>
  <c r="AN20" i="13" s="1"/>
  <c r="S93" i="13"/>
  <c r="AN46" i="13" s="1"/>
  <c r="P96" i="13"/>
  <c r="AN24" i="13" s="1"/>
  <c r="S97" i="13"/>
  <c r="AN50" i="13" s="1"/>
  <c r="S108" i="13"/>
  <c r="AP49" i="13" s="1"/>
  <c r="P111" i="13"/>
  <c r="AP27" i="13" s="1"/>
  <c r="M114" i="13"/>
  <c r="I190" i="13"/>
  <c r="J190" i="13" s="1"/>
  <c r="I180" i="13"/>
  <c r="J180" i="13" s="1"/>
  <c r="G183" i="13"/>
  <c r="H183" i="13" s="1"/>
  <c r="G154" i="13"/>
  <c r="E196" i="13"/>
  <c r="E186" i="13"/>
  <c r="K243" i="15"/>
  <c r="B256" i="15"/>
  <c r="M52" i="13"/>
  <c r="S68" i="13"/>
  <c r="AJ43" i="13" s="1"/>
  <c r="M71" i="13"/>
  <c r="P72" i="13"/>
  <c r="AJ22" i="13" s="1"/>
  <c r="S79" i="13"/>
  <c r="AL44" i="13" s="1"/>
  <c r="J172" i="13"/>
  <c r="P82" i="13"/>
  <c r="AL22" i="13" s="1"/>
  <c r="M85" i="13"/>
  <c r="S92" i="13"/>
  <c r="AN45" i="13" s="1"/>
  <c r="S111" i="13"/>
  <c r="AP52" i="13" s="1"/>
  <c r="P114" i="13"/>
  <c r="AP30" i="13" s="1"/>
  <c r="Q118" i="13"/>
  <c r="P122" i="13"/>
  <c r="S52" i="13"/>
  <c r="AF46" i="13" s="1"/>
  <c r="S58" i="13"/>
  <c r="AH42" i="13" s="1"/>
  <c r="M60" i="13"/>
  <c r="S71" i="13"/>
  <c r="AJ46" i="13" s="1"/>
  <c r="S78" i="13"/>
  <c r="AL43" i="13" s="1"/>
  <c r="S85" i="13"/>
  <c r="AL50" i="13" s="1"/>
  <c r="S95" i="13"/>
  <c r="AN48" i="13" s="1"/>
  <c r="S99" i="13"/>
  <c r="AN52" i="13" s="1"/>
  <c r="M109" i="13"/>
  <c r="P110" i="13"/>
  <c r="AP26" i="13" s="1"/>
  <c r="P113" i="13"/>
  <c r="AP29" i="13" s="1"/>
  <c r="J191" i="13"/>
  <c r="M48" i="13"/>
  <c r="S57" i="13"/>
  <c r="AH41" i="13" s="1"/>
  <c r="P74" i="13"/>
  <c r="AJ24" i="13" s="1"/>
  <c r="M84" i="13"/>
  <c r="M101" i="13"/>
  <c r="M103" i="13"/>
  <c r="S113" i="13"/>
  <c r="AP54" i="13" s="1"/>
  <c r="I194" i="13"/>
  <c r="J194" i="13" s="1"/>
  <c r="I155" i="13"/>
  <c r="I184" i="13"/>
  <c r="J184" i="13" s="1"/>
  <c r="M55" i="13"/>
  <c r="M62" i="13"/>
  <c r="M73" i="13"/>
  <c r="P84" i="13"/>
  <c r="AL24" i="13" s="1"/>
  <c r="P94" i="13"/>
  <c r="AN22" i="13" s="1"/>
  <c r="S106" i="13"/>
  <c r="AP47" i="13" s="1"/>
  <c r="S109" i="13"/>
  <c r="AP50" i="13" s="1"/>
  <c r="Q125" i="13"/>
  <c r="M50" i="13"/>
  <c r="F169" i="13"/>
  <c r="F182" i="13" s="1"/>
  <c r="P55" i="13"/>
  <c r="AH14" i="13" s="1"/>
  <c r="M56" i="13"/>
  <c r="M93" i="13"/>
  <c r="M97" i="13"/>
  <c r="S101" i="13"/>
  <c r="AN54" i="13" s="1"/>
  <c r="M108" i="13"/>
  <c r="P112" i="13"/>
  <c r="AP28" i="13" s="1"/>
  <c r="I182" i="13"/>
  <c r="J182" i="13" s="1"/>
  <c r="G185" i="13"/>
  <c r="H185" i="13" s="1"/>
  <c r="C25" i="14"/>
  <c r="P50" i="13"/>
  <c r="AF19" i="13" s="1"/>
  <c r="H169" i="13"/>
  <c r="H182" i="13" s="1"/>
  <c r="S55" i="13"/>
  <c r="AH39" i="13" s="1"/>
  <c r="P56" i="13"/>
  <c r="AH15" i="13" s="1"/>
  <c r="M61" i="13"/>
  <c r="S62" i="13"/>
  <c r="AH46" i="13" s="1"/>
  <c r="M68" i="13"/>
  <c r="S73" i="13"/>
  <c r="AJ48" i="13" s="1"/>
  <c r="S80" i="13"/>
  <c r="AL45" i="13" s="1"/>
  <c r="P83" i="13"/>
  <c r="AL23" i="13" s="1"/>
  <c r="M111" i="13"/>
  <c r="Q123" i="13"/>
  <c r="H180" i="13"/>
  <c r="J193" i="13"/>
  <c r="M79" i="13"/>
  <c r="P123" i="13"/>
  <c r="E187" i="13"/>
  <c r="F187" i="13" s="1"/>
  <c r="I192" i="13"/>
  <c r="J192" i="13" s="1"/>
  <c r="I196" i="13"/>
  <c r="J196" i="13" s="1"/>
  <c r="E183" i="13"/>
  <c r="F183" i="13" s="1"/>
  <c r="E193" i="13"/>
  <c r="B25" i="14"/>
  <c r="B23" i="14"/>
  <c r="AG41" i="15"/>
  <c r="AH42" i="15"/>
  <c r="AC42" i="15"/>
  <c r="AC44" i="15" s="1"/>
  <c r="AG44" i="15" s="1"/>
  <c r="AH47" i="15"/>
  <c r="S91" i="13"/>
  <c r="AN44" i="13" s="1"/>
  <c r="F173" i="13"/>
  <c r="F157" i="13" s="1"/>
  <c r="I185" i="13"/>
  <c r="J185" i="13" s="1"/>
  <c r="AF42" i="15"/>
  <c r="E181" i="13"/>
  <c r="F181" i="13" s="1"/>
  <c r="I183" i="13"/>
  <c r="J183" i="13" s="1"/>
  <c r="E185" i="13"/>
  <c r="F185" i="13" s="1"/>
  <c r="G186" i="13"/>
  <c r="H186" i="13" s="1"/>
  <c r="I197" i="13"/>
  <c r="J197" i="13" s="1"/>
  <c r="I181" i="13"/>
  <c r="J181" i="13" s="1"/>
  <c r="AH41" i="15"/>
  <c r="AF30" i="15"/>
  <c r="AG31" i="15"/>
  <c r="AC30" i="15"/>
  <c r="AC32" i="15" s="1"/>
  <c r="AG32" i="15" s="1"/>
  <c r="AH30" i="15"/>
  <c r="AG30" i="15"/>
  <c r="AH31" i="15"/>
  <c r="AF25" i="15"/>
  <c r="AD25" i="15" s="1"/>
  <c r="AD27" i="15" s="1"/>
  <c r="AI27" i="15" s="1"/>
  <c r="AK27" i="15" s="1"/>
  <c r="AG26" i="15"/>
  <c r="AC25" i="15"/>
  <c r="AC27" i="15" s="1"/>
  <c r="AG27" i="15" s="1"/>
  <c r="AH25" i="15"/>
  <c r="AG25" i="15"/>
  <c r="AH26" i="15"/>
  <c r="AC31" i="15"/>
  <c r="AC33" i="15" s="1"/>
  <c r="AG33" i="15" s="1"/>
  <c r="S49" i="17"/>
  <c r="T48" i="17"/>
  <c r="R48" i="17"/>
  <c r="P48" i="17" s="1"/>
  <c r="P50" i="17" s="1"/>
  <c r="O48" i="17"/>
  <c r="O50" i="17" s="1"/>
  <c r="AC41" i="15"/>
  <c r="AC43" i="15" s="1"/>
  <c r="AG43" i="15" s="1"/>
  <c r="AG42" i="15"/>
  <c r="AH46" i="15"/>
  <c r="AD46" i="15" s="1"/>
  <c r="AD48" i="15" s="1"/>
  <c r="AI48" i="15" s="1"/>
  <c r="AK48" i="15" s="1"/>
  <c r="AC47" i="15"/>
  <c r="AC49" i="15" s="1"/>
  <c r="AG49" i="15" s="1"/>
  <c r="K229" i="15"/>
  <c r="E381" i="15"/>
  <c r="I187" i="13"/>
  <c r="J187" i="13" s="1"/>
  <c r="AF26" i="15"/>
  <c r="AF31" i="15"/>
  <c r="AD31" i="15" s="1"/>
  <c r="AD33" i="15" s="1"/>
  <c r="AI33" i="15" s="1"/>
  <c r="AK33" i="15" s="1"/>
  <c r="M299" i="15"/>
  <c r="P299" i="15" s="1"/>
  <c r="M297" i="15"/>
  <c r="P297" i="15" s="1"/>
  <c r="M296" i="15"/>
  <c r="P296" i="15" s="1"/>
  <c r="J360" i="15"/>
  <c r="M257" i="15"/>
  <c r="P257" i="15" s="1"/>
  <c r="O53" i="17"/>
  <c r="O55" i="17" s="1"/>
  <c r="S54" i="17"/>
  <c r="T53" i="17"/>
  <c r="R53" i="17"/>
  <c r="AF41" i="15"/>
  <c r="AF47" i="15"/>
  <c r="M349" i="15"/>
  <c r="P349" i="15" s="1"/>
  <c r="M353" i="15"/>
  <c r="P353" i="15" s="1"/>
  <c r="E378" i="15"/>
  <c r="A17" i="17"/>
  <c r="A31" i="17"/>
  <c r="E180" i="13"/>
  <c r="F180" i="13" s="1"/>
  <c r="AG47" i="15"/>
  <c r="O54" i="17"/>
  <c r="O56" i="17" s="1"/>
  <c r="T54" i="17"/>
  <c r="R54" i="17"/>
  <c r="P54" i="17" s="1"/>
  <c r="P56" i="17" s="1"/>
  <c r="S53" i="17"/>
  <c r="M344" i="15"/>
  <c r="P344" i="15" s="1"/>
  <c r="M348" i="15"/>
  <c r="P348" i="15" s="1"/>
  <c r="M352" i="15"/>
  <c r="P352" i="15" s="1"/>
  <c r="W103" i="13" l="1"/>
  <c r="W104" i="13" s="1"/>
  <c r="AB70" i="13" s="1"/>
  <c r="J195" i="13"/>
  <c r="J156" i="13"/>
  <c r="BA16" i="13"/>
  <c r="BS16" i="13" s="1"/>
  <c r="U116" i="13"/>
  <c r="U14" i="9"/>
  <c r="AC3" i="13"/>
  <c r="AC4" i="13" s="1"/>
  <c r="E10" i="12"/>
  <c r="AA56" i="13"/>
  <c r="W40" i="13"/>
  <c r="W41" i="13" s="1"/>
  <c r="AB65" i="13" s="1"/>
  <c r="BE16" i="13"/>
  <c r="BW16" i="13" s="1"/>
  <c r="AN3" i="13"/>
  <c r="AN4" i="13" s="1"/>
  <c r="V103" i="13"/>
  <c r="V104" i="13" s="1"/>
  <c r="AA70" i="13" s="1"/>
  <c r="BI19" i="13"/>
  <c r="CA19" i="13" s="1"/>
  <c r="AK3" i="13"/>
  <c r="AK4" i="13" s="1"/>
  <c r="H17" i="5"/>
  <c r="B21" i="5"/>
  <c r="D21" i="5"/>
  <c r="W24" i="13"/>
  <c r="W25" i="13" s="1"/>
  <c r="AB64" i="13" s="1"/>
  <c r="AM56" i="13"/>
  <c r="BE18" i="13"/>
  <c r="BW18" i="13" s="1"/>
  <c r="BG15" i="13"/>
  <c r="BY15" i="13" s="1"/>
  <c r="D10" i="1"/>
  <c r="B10" i="1"/>
  <c r="H6" i="1"/>
  <c r="Z47" i="13"/>
  <c r="BR21" i="13"/>
  <c r="BK26" i="13"/>
  <c r="CC26" i="13" s="1"/>
  <c r="A32" i="17"/>
  <c r="A18" i="17"/>
  <c r="AD26" i="15"/>
  <c r="AD28" i="15" s="1"/>
  <c r="AI28" i="15" s="1"/>
  <c r="AK28" i="15" s="1"/>
  <c r="AD30" i="15"/>
  <c r="AD32" i="15" s="1"/>
  <c r="AI32" i="15" s="1"/>
  <c r="AK32" i="15" s="1"/>
  <c r="AD42" i="15"/>
  <c r="AD44" i="15" s="1"/>
  <c r="AI44" i="15" s="1"/>
  <c r="AK44" i="15" s="1"/>
  <c r="C36" i="14"/>
  <c r="B36" i="14"/>
  <c r="I23" i="14"/>
  <c r="I25" i="14"/>
  <c r="B270" i="15"/>
  <c r="K257" i="15"/>
  <c r="W91" i="13"/>
  <c r="W92" i="13" s="1"/>
  <c r="AB69" i="13" s="1"/>
  <c r="E10" i="11"/>
  <c r="C10" i="11"/>
  <c r="V40" i="13"/>
  <c r="V41" i="13" s="1"/>
  <c r="AA65" i="13" s="1"/>
  <c r="V55" i="13"/>
  <c r="V56" i="13" s="1"/>
  <c r="AA66" i="13" s="1"/>
  <c r="AC56" i="13"/>
  <c r="BK24" i="13"/>
  <c r="CC24" i="13" s="1"/>
  <c r="V78" i="13"/>
  <c r="V79" i="13" s="1"/>
  <c r="AA68" i="13" s="1"/>
  <c r="AG2" i="13"/>
  <c r="AG3" i="13"/>
  <c r="AG4" i="13" s="1"/>
  <c r="BK20" i="13"/>
  <c r="CC20" i="13" s="1"/>
  <c r="AO56" i="13"/>
  <c r="B21" i="1"/>
  <c r="D21" i="1"/>
  <c r="H17" i="1"/>
  <c r="H6" i="5"/>
  <c r="D10" i="5"/>
  <c r="B10" i="5"/>
  <c r="BL24" i="13"/>
  <c r="CD24" i="13" s="1"/>
  <c r="BK19" i="13"/>
  <c r="CC19" i="13" s="1"/>
  <c r="V67" i="13"/>
  <c r="V68" i="13" s="1"/>
  <c r="AA67" i="13" s="1"/>
  <c r="BG20" i="13"/>
  <c r="BY20" i="13" s="1"/>
  <c r="V91" i="13"/>
  <c r="V92" i="13" s="1"/>
  <c r="AA69" i="13" s="1"/>
  <c r="AO3" i="13"/>
  <c r="AO4" i="13" s="1"/>
  <c r="BI18" i="13"/>
  <c r="CA18" i="13" s="1"/>
  <c r="F186" i="13"/>
  <c r="BF14" i="13"/>
  <c r="BX14" i="13" s="1"/>
  <c r="W8" i="13"/>
  <c r="W9" i="13" s="1"/>
  <c r="AB63" i="13" s="1"/>
  <c r="AZ24" i="13"/>
  <c r="Z25" i="13"/>
  <c r="AG56" i="13"/>
  <c r="AJ3" i="13"/>
  <c r="AJ4" i="13" s="1"/>
  <c r="BK25" i="13"/>
  <c r="CC25" i="13" s="1"/>
  <c r="AI56" i="13"/>
  <c r="BO22" i="13"/>
  <c r="CG22" i="13" s="1"/>
  <c r="BI17" i="13"/>
  <c r="CA17" i="13" s="1"/>
  <c r="AI3" i="13"/>
  <c r="AI4" i="13" s="1"/>
  <c r="AB3" i="13"/>
  <c r="AB4" i="13" s="1"/>
  <c r="AE3" i="13"/>
  <c r="AE4" i="13" s="1"/>
  <c r="BE12" i="13"/>
  <c r="BW12" i="13" s="1"/>
  <c r="AD47" i="15"/>
  <c r="AD49" i="15" s="1"/>
  <c r="AI49" i="15" s="1"/>
  <c r="AK49" i="15" s="1"/>
  <c r="W55" i="13"/>
  <c r="W56" i="13" s="1"/>
  <c r="AB66" i="13" s="1"/>
  <c r="BH20" i="13"/>
  <c r="BZ20" i="13" s="1"/>
  <c r="T128" i="13"/>
  <c r="AD3" i="13"/>
  <c r="AD4" i="13" s="1"/>
  <c r="BA12" i="13"/>
  <c r="BS12" i="13" s="1"/>
  <c r="BE13" i="13"/>
  <c r="BW13" i="13" s="1"/>
  <c r="BO27" i="13"/>
  <c r="CG27" i="13" s="1"/>
  <c r="BK23" i="13"/>
  <c r="CC23" i="13" s="1"/>
  <c r="AP3" i="13"/>
  <c r="AP4" i="13" s="1"/>
  <c r="E21" i="11"/>
  <c r="C21" i="11"/>
  <c r="P49" i="17"/>
  <c r="P51" i="17" s="1"/>
  <c r="E21" i="12"/>
  <c r="C21" i="12"/>
  <c r="AD41" i="15"/>
  <c r="AD43" i="15" s="1"/>
  <c r="AI43" i="15" s="1"/>
  <c r="AK43" i="15" s="1"/>
  <c r="V8" i="13"/>
  <c r="V9" i="13" s="1"/>
  <c r="AA63" i="13" s="1"/>
  <c r="BA13" i="13"/>
  <c r="BS13" i="13" s="1"/>
  <c r="BE15" i="13"/>
  <c r="BW15" i="13" s="1"/>
  <c r="BF12" i="13"/>
  <c r="BX12" i="13" s="1"/>
  <c r="AF3" i="13"/>
  <c r="AF4" i="13" s="1"/>
  <c r="BF18" i="13"/>
  <c r="BX18" i="13" s="1"/>
  <c r="AM3" i="13"/>
  <c r="AM4" i="13" s="1"/>
  <c r="BP21" i="13"/>
  <c r="CH21" i="13" s="1"/>
  <c r="BI20" i="13"/>
  <c r="CA20" i="13" s="1"/>
  <c r="C38" i="14"/>
  <c r="B38" i="14"/>
  <c r="AH3" i="13"/>
  <c r="AH4" i="13" s="1"/>
  <c r="BI22" i="13"/>
  <c r="CA22" i="13" s="1"/>
  <c r="BG21" i="13"/>
  <c r="BY21" i="13" s="1"/>
  <c r="BL23" i="13"/>
  <c r="CD23" i="13" s="1"/>
  <c r="P53" i="17"/>
  <c r="P55" i="17" s="1"/>
  <c r="BF19" i="13"/>
  <c r="BX19" i="13" s="1"/>
  <c r="W67" i="13"/>
  <c r="W68" i="13" s="1"/>
  <c r="AB67" i="13" s="1"/>
  <c r="AA3" i="13"/>
  <c r="AA4" i="13" s="1"/>
  <c r="BL19" i="13"/>
  <c r="CD19" i="13" s="1"/>
  <c r="BE17" i="13"/>
  <c r="BW17" i="13" s="1"/>
  <c r="BC17" i="13"/>
  <c r="BU17" i="13" s="1"/>
  <c r="AL3" i="13"/>
  <c r="AL4" i="13" s="1"/>
  <c r="BL18" i="13"/>
  <c r="CD18" i="13" s="1"/>
  <c r="BI23" i="13"/>
  <c r="CA23" i="13" s="1"/>
  <c r="BI21" i="13"/>
  <c r="CA21" i="13" s="1"/>
  <c r="BM27" i="13"/>
  <c r="CE27" i="13" s="1"/>
  <c r="AK56" i="13"/>
  <c r="T118" i="13"/>
  <c r="T126" i="13" s="1"/>
  <c r="L10" i="9"/>
  <c r="O10" i="9" s="1"/>
  <c r="L9" i="9"/>
  <c r="O9" i="9" s="1"/>
  <c r="L8" i="9"/>
  <c r="O8" i="9" s="1"/>
  <c r="L7" i="9"/>
  <c r="O7" i="9" s="1"/>
  <c r="L6" i="9"/>
  <c r="O6" i="9" s="1"/>
  <c r="L5" i="9"/>
  <c r="O5" i="9" s="1"/>
  <c r="L4" i="9"/>
  <c r="O4" i="9" s="1"/>
  <c r="L3" i="9"/>
  <c r="O3" i="9" s="1"/>
  <c r="M2" i="9"/>
  <c r="P2" i="9" s="1"/>
  <c r="Q2" i="9" s="1"/>
  <c r="T17" i="9" s="1"/>
  <c r="S5" i="9"/>
  <c r="L2" i="9"/>
  <c r="O2" i="9" s="1"/>
  <c r="S17" i="9" s="1"/>
  <c r="S18" i="9" s="1"/>
  <c r="S21" i="9" s="1"/>
  <c r="M11" i="9"/>
  <c r="P11" i="9" s="1"/>
  <c r="Q11" i="9" s="1"/>
  <c r="L11" i="9"/>
  <c r="O11" i="9" s="1"/>
  <c r="R5" i="9"/>
  <c r="T127" i="13" l="1"/>
  <c r="U126" i="13"/>
  <c r="U127" i="13" s="1"/>
  <c r="BM23" i="13"/>
  <c r="CE23" i="13" s="1"/>
  <c r="BM22" i="13"/>
  <c r="CE22" i="13" s="1"/>
  <c r="BD10" i="13"/>
  <c r="BV10" i="13" s="1"/>
  <c r="BO24" i="13"/>
  <c r="CG24" i="13" s="1"/>
  <c r="BD13" i="13"/>
  <c r="BV13" i="13" s="1"/>
  <c r="BJ18" i="13"/>
  <c r="CB18" i="13" s="1"/>
  <c r="BD14" i="13"/>
  <c r="BV14" i="13" s="1"/>
  <c r="BL25" i="13"/>
  <c r="CD25" i="13" s="1"/>
  <c r="BL20" i="13"/>
  <c r="CD20" i="13" s="1"/>
  <c r="BB11" i="13"/>
  <c r="BT11" i="13" s="1"/>
  <c r="BC14" i="13"/>
  <c r="BU14" i="13" s="1"/>
  <c r="BP26" i="13"/>
  <c r="CH26" i="13" s="1"/>
  <c r="BP28" i="13"/>
  <c r="CH28" i="13" s="1"/>
  <c r="BP23" i="13"/>
  <c r="CH23" i="13" s="1"/>
  <c r="BA11" i="13"/>
  <c r="BS11" i="13" s="1"/>
  <c r="BN28" i="13"/>
  <c r="CF28" i="13" s="1"/>
  <c r="BA10" i="13"/>
  <c r="BS10" i="13" s="1"/>
  <c r="BP29" i="13"/>
  <c r="CH29" i="13" s="1"/>
  <c r="BO25" i="13"/>
  <c r="CG25" i="13" s="1"/>
  <c r="BH18" i="13"/>
  <c r="BZ18" i="13" s="1"/>
  <c r="BC12" i="13"/>
  <c r="BU12" i="13" s="1"/>
  <c r="BI24" i="13"/>
  <c r="CA24" i="13" s="1"/>
  <c r="BM28" i="13"/>
  <c r="CE28" i="13" s="1"/>
  <c r="T129" i="13"/>
  <c r="U128" i="13"/>
  <c r="U129" i="13" s="1"/>
  <c r="BB9" i="13"/>
  <c r="BT9" i="13" s="1"/>
  <c r="E21" i="1"/>
  <c r="C21" i="1"/>
  <c r="BO23" i="13"/>
  <c r="CG23" i="13" s="1"/>
  <c r="I38" i="14"/>
  <c r="BM19" i="13"/>
  <c r="CE19" i="13" s="1"/>
  <c r="BA15" i="13"/>
  <c r="BS15" i="13" s="1"/>
  <c r="BG19" i="13"/>
  <c r="BY19" i="13" s="1"/>
  <c r="BF17" i="13"/>
  <c r="BX17" i="13" s="1"/>
  <c r="BF13" i="13"/>
  <c r="BX13" i="13" s="1"/>
  <c r="BC15" i="13"/>
  <c r="BU15" i="13" s="1"/>
  <c r="BH15" i="13"/>
  <c r="BZ15" i="13" s="1"/>
  <c r="BE14" i="13"/>
  <c r="BW14" i="13" s="1"/>
  <c r="BC18" i="13"/>
  <c r="BU18" i="13" s="1"/>
  <c r="BL21" i="13"/>
  <c r="CD21" i="13" s="1"/>
  <c r="BD11" i="13"/>
  <c r="BV11" i="13" s="1"/>
  <c r="BN22" i="13"/>
  <c r="CF22" i="13" s="1"/>
  <c r="A19" i="17"/>
  <c r="A33" i="17"/>
  <c r="BK21" i="13"/>
  <c r="CC21" i="13" s="1"/>
  <c r="BL22" i="13"/>
  <c r="CD22" i="13" s="1"/>
  <c r="BM20" i="13"/>
  <c r="CE20" i="13" s="1"/>
  <c r="BK22" i="13"/>
  <c r="CC22" i="13" s="1"/>
  <c r="BA14" i="13"/>
  <c r="BS14" i="13" s="1"/>
  <c r="BC13" i="13"/>
  <c r="BU13" i="13" s="1"/>
  <c r="BJ20" i="13"/>
  <c r="CB20" i="13" s="1"/>
  <c r="BJ22" i="13"/>
  <c r="CB22" i="13" s="1"/>
  <c r="BJ17" i="13"/>
  <c r="CB17" i="13" s="1"/>
  <c r="BH16" i="13"/>
  <c r="BZ16" i="13" s="1"/>
  <c r="BO30" i="13"/>
  <c r="CG30" i="13" s="1"/>
  <c r="BC10" i="13"/>
  <c r="BU10" i="13" s="1"/>
  <c r="BM29" i="13"/>
  <c r="CE29" i="13" s="1"/>
  <c r="BB13" i="13"/>
  <c r="BT13" i="13" s="1"/>
  <c r="BH21" i="13"/>
  <c r="BZ21" i="13" s="1"/>
  <c r="BP25" i="13"/>
  <c r="CH25" i="13" s="1"/>
  <c r="BO26" i="13"/>
  <c r="CG26" i="13" s="1"/>
  <c r="BB16" i="13"/>
  <c r="BT16" i="13" s="1"/>
  <c r="BP22" i="13"/>
  <c r="CH22" i="13" s="1"/>
  <c r="BJ24" i="13"/>
  <c r="CB24" i="13" s="1"/>
  <c r="BH19" i="13"/>
  <c r="BZ19" i="13" s="1"/>
  <c r="BN29" i="13"/>
  <c r="CF29" i="13" s="1"/>
  <c r="BF15" i="13"/>
  <c r="BX15" i="13" s="1"/>
  <c r="BO29" i="13"/>
  <c r="CG29" i="13" s="1"/>
  <c r="BP27" i="13"/>
  <c r="CH27" i="13" s="1"/>
  <c r="BG14" i="13"/>
  <c r="BY14" i="13" s="1"/>
  <c r="BD17" i="13"/>
  <c r="BV17" i="13" s="1"/>
  <c r="BP20" i="13"/>
  <c r="CH20" i="13" s="1"/>
  <c r="C21" i="5"/>
  <c r="E21" i="5"/>
  <c r="BM21" i="13"/>
  <c r="CE21" i="13" s="1"/>
  <c r="BN23" i="13"/>
  <c r="CF23" i="13" s="1"/>
  <c r="BJ21" i="13"/>
  <c r="CB21" i="13" s="1"/>
  <c r="BB15" i="13"/>
  <c r="BT15" i="13" s="1"/>
  <c r="BN27" i="13"/>
  <c r="CF27" i="13" s="1"/>
  <c r="BB10" i="13"/>
  <c r="BT10" i="13" s="1"/>
  <c r="BO21" i="13"/>
  <c r="CG21" i="13" s="1"/>
  <c r="BF16" i="13"/>
  <c r="BX16" i="13" s="1"/>
  <c r="BN26" i="13"/>
  <c r="CF26" i="13" s="1"/>
  <c r="E10" i="5"/>
  <c r="C10" i="5"/>
  <c r="I36" i="14"/>
  <c r="Z48" i="13"/>
  <c r="BR22" i="13"/>
  <c r="BO20" i="13"/>
  <c r="CG20" i="13" s="1"/>
  <c r="BO28" i="13"/>
  <c r="CG28" i="13" s="1"/>
  <c r="BD16" i="13"/>
  <c r="BV16" i="13" s="1"/>
  <c r="C10" i="1"/>
  <c r="E10" i="1"/>
  <c r="BN25" i="13"/>
  <c r="CF25" i="13" s="1"/>
  <c r="BN19" i="13"/>
  <c r="CF19" i="13" s="1"/>
  <c r="BC16" i="13"/>
  <c r="BU16" i="13" s="1"/>
  <c r="BH17" i="13"/>
  <c r="BZ17" i="13" s="1"/>
  <c r="BB14" i="13"/>
  <c r="BT14" i="13" s="1"/>
  <c r="Z26" i="13"/>
  <c r="AZ25" i="13"/>
  <c r="BM24" i="13"/>
  <c r="CE24" i="13" s="1"/>
  <c r="BM26" i="13"/>
  <c r="CE26" i="13" s="1"/>
  <c r="BN24" i="13"/>
  <c r="CF24" i="13" s="1"/>
  <c r="BP24" i="13"/>
  <c r="CH24" i="13" s="1"/>
  <c r="U17" i="9"/>
  <c r="T18" i="9"/>
  <c r="U18" i="9" s="1"/>
  <c r="BG16" i="13"/>
  <c r="BY16" i="13" s="1"/>
  <c r="BA9" i="13"/>
  <c r="BS9" i="13" s="1"/>
  <c r="BC11" i="13"/>
  <c r="BU11" i="13" s="1"/>
  <c r="BH14" i="13"/>
  <c r="BZ14" i="13" s="1"/>
  <c r="BJ19" i="13"/>
  <c r="CB19" i="13" s="1"/>
  <c r="BD12" i="13"/>
  <c r="BV12" i="13" s="1"/>
  <c r="BP30" i="13"/>
  <c r="CH30" i="13" s="1"/>
  <c r="BP19" i="13"/>
  <c r="CH19" i="13" s="1"/>
  <c r="BD15" i="13"/>
  <c r="BV15" i="13" s="1"/>
  <c r="BG17" i="13"/>
  <c r="BY17" i="13" s="1"/>
  <c r="BL26" i="13"/>
  <c r="CD26" i="13" s="1"/>
  <c r="BM25" i="13"/>
  <c r="CE25" i="13" s="1"/>
  <c r="BD18" i="13"/>
  <c r="BV18" i="13" s="1"/>
  <c r="BO19" i="13"/>
  <c r="CG19" i="13" s="1"/>
  <c r="BG18" i="13"/>
  <c r="BY18" i="13" s="1"/>
  <c r="BN21" i="13"/>
  <c r="CF21" i="13" s="1"/>
  <c r="BB12" i="13"/>
  <c r="BT12" i="13" s="1"/>
  <c r="B284" i="15"/>
  <c r="K271" i="15"/>
  <c r="BE19" i="13"/>
  <c r="BW19" i="13" s="1"/>
  <c r="BK18" i="13"/>
  <c r="CC18" i="13" s="1"/>
  <c r="BJ23" i="13"/>
  <c r="CB23" i="13" s="1"/>
  <c r="BN20" i="13"/>
  <c r="CF20" i="13" s="1"/>
  <c r="B298" i="15" l="1"/>
  <c r="K285" i="15"/>
  <c r="Z27" i="13"/>
  <c r="AZ26" i="13"/>
  <c r="A20" i="17"/>
  <c r="A34" i="17"/>
  <c r="W129" i="13"/>
  <c r="X129" i="13"/>
  <c r="Z49" i="13"/>
  <c r="BR23" i="13"/>
  <c r="W127" i="13"/>
  <c r="X127" i="13"/>
  <c r="Z28" i="13" l="1"/>
  <c r="AZ27" i="13"/>
  <c r="A35" i="17"/>
  <c r="A21" i="17"/>
  <c r="Z50" i="13"/>
  <c r="BR24" i="13"/>
  <c r="K299" i="15"/>
  <c r="B312" i="15"/>
  <c r="K313" i="15" l="1"/>
  <c r="B326" i="15"/>
  <c r="A36" i="17"/>
  <c r="A22" i="17"/>
  <c r="Z51" i="13"/>
  <c r="BR25" i="13"/>
  <c r="AZ28" i="13"/>
  <c r="Z29" i="13"/>
  <c r="Z52" i="13" l="1"/>
  <c r="BR26" i="13"/>
  <c r="K327" i="15"/>
  <c r="B340" i="15"/>
  <c r="K341" i="15" s="1"/>
  <c r="AZ29" i="13"/>
  <c r="Z30" i="13"/>
  <c r="AZ30" i="13" s="1"/>
  <c r="A23" i="17"/>
  <c r="A37" i="17"/>
  <c r="A38" i="17" l="1"/>
  <c r="A24" i="17"/>
  <c r="Z53" i="13"/>
  <c r="BR27" i="13"/>
  <c r="BR28" i="13" l="1"/>
  <c r="Z54" i="13"/>
  <c r="A25" i="17"/>
  <c r="A39" i="17"/>
  <c r="Z55" i="13" l="1"/>
  <c r="BR30" i="13" s="1"/>
  <c r="BR29" i="13"/>
  <c r="A40" i="17"/>
  <c r="A26" i="17"/>
  <c r="A27" i="17" l="1"/>
  <c r="A42" i="17" s="1"/>
  <c r="A4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2000000}">
      <text>
        <r>
          <rPr>
            <sz val="10"/>
            <color rgb="FF000000"/>
            <rFont val="Arial"/>
            <scheme val="minor"/>
          </rPr>
          <t>time(θ) ~ 10*|θ| - 80
	-Carlos Morgado Cabrita da Conceição Espadinha</t>
        </r>
      </text>
    </comment>
    <comment ref="F2" authorId="0" shapeId="0" xr:uid="{00000000-0006-0000-0200-000001000000}">
      <text>
        <r>
          <rPr>
            <sz val="10"/>
            <color rgb="FF000000"/>
            <rFont val="Arial"/>
            <scheme val="minor"/>
          </rPr>
          <t>os coisos com esta cor precisam de ser formatados manualmente(casas decimais)
	-Carlos Morgado Cabrita da Conceição Espadinha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700-000001000000}">
      <text>
        <r>
          <rPr>
            <sz val="10"/>
            <color rgb="FF000000"/>
            <rFont val="Arial"/>
            <scheme val="minor"/>
          </rPr>
          <t>dúvida: theta= 0º ou 90º ?
	-Carlos Morgado Cabrita da Conceição Espadinha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0"/>
            <color rgb="FF000000"/>
            <rFont val="Arial"/>
            <scheme val="minor"/>
          </rPr>
          <t>ns
	-Carlos Morgado Cabrita da Conceição Espadinha</t>
        </r>
      </text>
    </comment>
    <comment ref="F1" authorId="0" shapeId="0" xr:uid="{00000000-0006-0000-0800-000002000000}">
      <text>
        <r>
          <rPr>
            <sz val="10"/>
            <color rgb="FF000000"/>
            <rFont val="Arial"/>
            <scheme val="minor"/>
          </rPr>
          <t>cts
	-Carlos Morgado Cabrita da Conceição Espadinha</t>
        </r>
      </text>
    </comment>
    <comment ref="J1" authorId="0" shapeId="0" xr:uid="{00000000-0006-0000-0800-000005000000}">
      <text>
        <r>
          <rPr>
            <sz val="10"/>
            <color rgb="FF000000"/>
            <rFont val="Arial"/>
            <scheme val="minor"/>
          </rPr>
          <t>dúvida: theta= 0º ou 90º ?
	-Carlos Morgado Cabrita da Conceição Espadinha</t>
        </r>
      </text>
    </comment>
    <comment ref="L1" authorId="0" shapeId="0" xr:uid="{00000000-0006-0000-0800-000004000000}">
      <text>
        <r>
          <rPr>
            <sz val="10"/>
            <color rgb="FF000000"/>
            <rFont val="Arial"/>
            <scheme val="minor"/>
          </rPr>
          <t>cts^2 ns^-1
	-Carlos Morgado Cabrita da Conceição Espadinha</t>
        </r>
      </text>
    </comment>
    <comment ref="O1" authorId="0" shapeId="0" xr:uid="{00000000-0006-0000-0800-000003000000}">
      <text>
        <r>
          <rPr>
            <sz val="10"/>
            <color rgb="FF000000"/>
            <rFont val="Arial"/>
            <scheme val="minor"/>
          </rPr>
          <t>cts^2 ns^-1
	-Carlos Morgado Cabrita da Conceição Espadinha</t>
        </r>
      </text>
    </comment>
    <comment ref="R4" authorId="0" shapeId="0" xr:uid="{00000000-0006-0000-0800-000007000000}">
      <text>
        <r>
          <rPr>
            <sz val="10"/>
            <color rgb="FF000000"/>
            <rFont val="Arial"/>
            <scheme val="minor"/>
          </rPr>
          <t>não apagar
	-Carlos Morgado Cabrita da Conceição Espadinha</t>
        </r>
      </text>
    </comment>
    <comment ref="T17" authorId="0" shapeId="0" xr:uid="{00000000-0006-0000-0800-000006000000}">
      <text>
        <r>
          <rPr>
            <sz val="10"/>
            <color rgb="FF000000"/>
            <rFont val="Arial"/>
            <scheme val="minor"/>
          </rPr>
          <t>Só em estatística é que se usa a fórmula quadrática
	-Carlos Morgado Cabrita da Conceição Espadinha</t>
        </r>
      </text>
    </comment>
  </commentList>
</comments>
</file>

<file path=xl/sharedStrings.xml><?xml version="1.0" encoding="utf-8"?>
<sst xmlns="http://schemas.openxmlformats.org/spreadsheetml/2006/main" count="1235" uniqueCount="266">
  <si>
    <t>FWHM/σ</t>
  </si>
  <si>
    <t>Calibração do Detetor A</t>
  </si>
  <si>
    <t>T. Aquisição (s)</t>
  </si>
  <si>
    <t>δ T. Aquisição (s)</t>
  </si>
  <si>
    <t>Canal Inferior</t>
  </si>
  <si>
    <t>δ Canal Inferior</t>
  </si>
  <si>
    <t>Canal Superior</t>
  </si>
  <si>
    <t>δ Canal Superior</t>
  </si>
  <si>
    <t>Tmin</t>
  </si>
  <si>
    <t>ROI Int</t>
  </si>
  <si>
    <t>δ Nt</t>
  </si>
  <si>
    <t>ROI Net</t>
  </si>
  <si>
    <t>δ Ns</t>
  </si>
  <si>
    <t>FWHM</t>
  </si>
  <si>
    <t>δ FWHM</t>
  </si>
  <si>
    <t>Centróide</t>
  </si>
  <si>
    <t>δ Centróide</t>
  </si>
  <si>
    <t>σ</t>
  </si>
  <si>
    <t>δ σ</t>
  </si>
  <si>
    <t>Limite inferior</t>
  </si>
  <si>
    <t>δ Limite Inferior</t>
  </si>
  <si>
    <t>Limite Superior</t>
  </si>
  <si>
    <t>δ Limite Superior</t>
  </si>
  <si>
    <t>Canal MCA</t>
  </si>
  <si>
    <t>Pulser</t>
  </si>
  <si>
    <t>Monocanal SCA</t>
  </si>
  <si>
    <t>Calibração do Detetor B</t>
  </si>
  <si>
    <t>lembrar da incerteza dos três dedos ( ͡° ͜ʖ ͡°)</t>
  </si>
  <si>
    <t>Diâmetro máximo do detector</t>
  </si>
  <si>
    <t>cm</t>
  </si>
  <si>
    <t>Canais a medir c/ o pulser no detetor A</t>
  </si>
  <si>
    <t>Valores de Tensão no SCA do detetor móvel no detetor A</t>
  </si>
  <si>
    <t>Tensão inferior (V)</t>
  </si>
  <si>
    <t>δ Tensão Inferior (V)</t>
  </si>
  <si>
    <t>Tensão Superior (V)</t>
  </si>
  <si>
    <t>δ Tensão Superior (V)</t>
  </si>
  <si>
    <t>Canais a medir c/ o pulser no detetor B</t>
  </si>
  <si>
    <t>Valores de Tensão no SCA do detetor fixo no detetor B</t>
  </si>
  <si>
    <t>θ / º</t>
  </si>
  <si>
    <t>time /s</t>
  </si>
  <si>
    <t>N</t>
  </si>
  <si>
    <t>M</t>
  </si>
  <si>
    <t>result</t>
  </si>
  <si>
    <t>"min"/"sec"</t>
  </si>
  <si>
    <t>err</t>
  </si>
  <si>
    <t>in sec</t>
  </si>
  <si>
    <t>err in sec</t>
  </si>
  <si>
    <t>Detector1 (cts)</t>
  </si>
  <si>
    <t>Detector2 (cts)</t>
  </si>
  <si>
    <t>Coincidências (cts)</t>
  </si>
  <si>
    <t>R (cts/s)</t>
  </si>
  <si>
    <t>casas</t>
  </si>
  <si>
    <t>Fitteia ::</t>
  </si>
  <si>
    <t>theta</t>
  </si>
  <si>
    <t>min</t>
  </si>
  <si>
    <t>sec</t>
  </si>
  <si>
    <t>É suposto o gráfico ir aumentando até theta=0. Diminui a partir daí (func par)</t>
  </si>
  <si>
    <t>Parece estar de acordo com os dados, mas é preciso fazer mais aquisições</t>
  </si>
  <si>
    <t>Ter em consideração que é suposto o número de contagens do detector 1 e 2</t>
  </si>
  <si>
    <t>serem semelhantes, o que não se verifica.</t>
  </si>
  <si>
    <t>Perguntar ao professor se fazemos os limites (12, 15 e 20)º como está em cima /\ ou como está em baixo \/</t>
  </si>
  <si>
    <t>(12º) t / s</t>
  </si>
  <si>
    <t>Detector1</t>
  </si>
  <si>
    <t>Detector2</t>
  </si>
  <si>
    <t>Coincidências</t>
  </si>
  <si>
    <t>(15º) t / s</t>
  </si>
  <si>
    <t>(20º) t / s</t>
  </si>
  <si>
    <t>60s</t>
  </si>
  <si>
    <t>2fundo_a</t>
  </si>
  <si>
    <t>2fundo_b</t>
  </si>
  <si>
    <t>2cali_a</t>
  </si>
  <si>
    <t>*10</t>
  </si>
  <si>
    <t>2cali_b</t>
  </si>
  <si>
    <t>janela teórica (rodar)</t>
  </si>
  <si>
    <t>janela exp. (osciloscópio)</t>
  </si>
  <si>
    <t>janela exp. (osciloscópio) (s)</t>
  </si>
  <si>
    <t>err (s)</t>
  </si>
  <si>
    <t>Tempo de aquisição</t>
  </si>
  <si>
    <t>Fortuitas</t>
  </si>
  <si>
    <t>A = 2*N1*N2/T</t>
  </si>
  <si>
    <t>T=tempo de aquisição (s)</t>
  </si>
  <si>
    <t>Fitteia::</t>
  </si>
  <si>
    <t>janela exp. (osciloscópio) (ns)</t>
  </si>
  <si>
    <t>Fortuitas teórica</t>
  </si>
  <si>
    <t>N_Fortuitas = A * t_janela</t>
  </si>
  <si>
    <t>Fazer ajuste à reta -&gt; N_F = A * t_janela + b</t>
  </si>
  <si>
    <t>A_ajuste</t>
  </si>
  <si>
    <t>%</t>
  </si>
  <si>
    <t>round \/</t>
  </si>
  <si>
    <t>b_ajuste</t>
  </si>
  <si>
    <t>chi^2</t>
  </si>
  <si>
    <t>A_esperado</t>
  </si>
  <si>
    <t>desvio ao esperado</t>
  </si>
  <si>
    <t xml:space="preserve">l </t>
  </si>
  <si>
    <t xml:space="preserve">beta </t>
  </si>
  <si>
    <t>x</t>
  </si>
  <si>
    <t>coarse</t>
  </si>
  <si>
    <t>fine</t>
  </si>
  <si>
    <t>calib_b_3</t>
  </si>
  <si>
    <t>φ (º)</t>
  </si>
  <si>
    <t>Não é necessário gráfico para R1. Faz-se a média</t>
  </si>
  <si>
    <t>Graph1</t>
  </si>
  <si>
    <t>r (cm) teórico</t>
  </si>
  <si>
    <t xml:space="preserve">r (cm) </t>
  </si>
  <si>
    <t>R1</t>
  </si>
  <si>
    <t>Arred</t>
  </si>
  <si>
    <t>R2</t>
  </si>
  <si>
    <t>Rc</t>
  </si>
  <si>
    <t>R1_med</t>
  </si>
  <si>
    <t>R2(-4)</t>
  </si>
  <si>
    <t>R2(-3)</t>
  </si>
  <si>
    <t>R2(-2)</t>
  </si>
  <si>
    <t>R2(-1)</t>
  </si>
  <si>
    <t>R2(1)</t>
  </si>
  <si>
    <t>R2(2)</t>
  </si>
  <si>
    <t>R2(3)</t>
  </si>
  <si>
    <t>R2(4)</t>
  </si>
  <si>
    <t>arred</t>
  </si>
  <si>
    <t>Graph2</t>
  </si>
  <si>
    <t>Rc(-4)</t>
  </si>
  <si>
    <t>Rc(-3)</t>
  </si>
  <si>
    <t>Rc(-2)</t>
  </si>
  <si>
    <t>Rc(-1)</t>
  </si>
  <si>
    <t>Rc(1)</t>
  </si>
  <si>
    <t>Rc(2)</t>
  </si>
  <si>
    <t>Rc(3)</t>
  </si>
  <si>
    <t>Rc(4)</t>
  </si>
  <si>
    <t>pos fonte (x)</t>
  </si>
  <si>
    <t>pico/theta</t>
  </si>
  <si>
    <t>hora</t>
  </si>
  <si>
    <t>detetor</t>
  </si>
  <si>
    <t>a</t>
  </si>
  <si>
    <t xml:space="preserve">y (cm) </t>
  </si>
  <si>
    <t>y (cm)</t>
  </si>
  <si>
    <t>R</t>
  </si>
  <si>
    <t>b</t>
  </si>
  <si>
    <t>Dt</t>
  </si>
  <si>
    <t>janela</t>
  </si>
  <si>
    <t>R1=</t>
  </si>
  <si>
    <t>R2=</t>
  </si>
  <si>
    <t>Extra:</t>
  </si>
  <si>
    <t>y</t>
  </si>
  <si>
    <t>var y -&gt;</t>
  </si>
  <si>
    <t>var x -&gt;</t>
  </si>
  <si>
    <t>Análise</t>
  </si>
  <si>
    <t>x (cm)</t>
  </si>
  <si>
    <t>Esta pixota normalizada</t>
  </si>
  <si>
    <t>theta -&gt; 0</t>
  </si>
  <si>
    <t>NA</t>
  </si>
  <si>
    <t>NB</t>
  </si>
  <si>
    <t>NC</t>
  </si>
  <si>
    <t>delta t</t>
  </si>
  <si>
    <t>RA</t>
  </si>
  <si>
    <t>RB</t>
  </si>
  <si>
    <t>RC</t>
  </si>
  <si>
    <t>Dados da calibração (Sessão 2):</t>
  </si>
  <si>
    <t>A</t>
  </si>
  <si>
    <t>Roi net</t>
  </si>
  <si>
    <t xml:space="preserve">Roi int </t>
  </si>
  <si>
    <t>rend</t>
  </si>
  <si>
    <t>B</t>
  </si>
  <si>
    <t>Ei</t>
  </si>
  <si>
    <t>relativa</t>
  </si>
  <si>
    <t>Dados Fit:</t>
  </si>
  <si>
    <t>beta</t>
  </si>
  <si>
    <t>Eg</t>
  </si>
  <si>
    <t>graus</t>
  </si>
  <si>
    <t>rads</t>
  </si>
  <si>
    <t>Eficiência total</t>
  </si>
  <si>
    <t>Posição teor</t>
  </si>
  <si>
    <t>r=</t>
  </si>
  <si>
    <t>φ</t>
  </si>
  <si>
    <t>(º)</t>
  </si>
  <si>
    <t>(-2, 1)</t>
  </si>
  <si>
    <t>(1, -2)</t>
  </si>
  <si>
    <t>phi</t>
  </si>
  <si>
    <t>Theta/Phi</t>
  </si>
  <si>
    <t>d=</t>
  </si>
  <si>
    <t>phi -&gt; phi + 180*</t>
  </si>
  <si>
    <t>x,y -&gt; -x, -y</t>
  </si>
  <si>
    <t>Minimizer is Minuit2 / Migrad</t>
  </si>
  <si>
    <t>TOMO_Total</t>
  </si>
  <si>
    <t>10uCi</t>
  </si>
  <si>
    <t>round</t>
  </si>
  <si>
    <t>rad</t>
  </si>
  <si>
    <t>Chi2                      =      3211.03</t>
  </si>
  <si>
    <t>theta0</t>
  </si>
  <si>
    <t>x0</t>
  </si>
  <si>
    <t>NDf                       =          159</t>
  </si>
  <si>
    <t>theta90</t>
  </si>
  <si>
    <t>y0</t>
  </si>
  <si>
    <t>Edm                       =  2.93551e-10</t>
  </si>
  <si>
    <t>desv referência</t>
  </si>
  <si>
    <t>% inc relativa</t>
  </si>
  <si>
    <t>NCalls                    =          142</t>
  </si>
  <si>
    <t>1_A                       =      98.2638   +/-   2.44639</t>
  </si>
  <si>
    <t>5uCi</t>
  </si>
  <si>
    <t>1_mean_0                  =     -16.4849   +/-   0.167775</t>
  </si>
  <si>
    <t>1_sigma_0                 =      6.88405   +/-   0.170466</t>
  </si>
  <si>
    <t>1_mean_90                 =      8.39966   +/-   0.200878</t>
  </si>
  <si>
    <t>1_sigma_90                =      8.21493   +/-   0.218447</t>
  </si>
  <si>
    <t>2_A                       =      52.9212   +/-   2.5325</t>
  </si>
  <si>
    <t>2_mean_0                  =       8.7536   +/-   0.327546</t>
  </si>
  <si>
    <t>2_sigma_0                 =       6.9339   +/-   0.339891</t>
  </si>
  <si>
    <t>2_mean_90                 =     -16.2312   +/-   0.355124</t>
  </si>
  <si>
    <t>2_sigma_90                =      7.49863   +/-   0.378897</t>
  </si>
  <si>
    <t>TOMO1_180</t>
  </si>
  <si>
    <t>Chi2                      =      6016.29</t>
  </si>
  <si>
    <t>Edm                       =  1.40818e-11</t>
  </si>
  <si>
    <t>1_A                       =      93.5885   +/-   3.14075</t>
  </si>
  <si>
    <t>1_mean_0                  =     -17.1996   +/-   0.229928</t>
  </si>
  <si>
    <t>1_sigma_0                 =      6.87511   +/-   0.231705</t>
  </si>
  <si>
    <t>1_mean_90                 =      9.21759   +/-   0.313151</t>
  </si>
  <si>
    <t>1_sigma_90                =      9.36929   +/-   0.323444</t>
  </si>
  <si>
    <t>2_A                       =      57.4813   +/-   3.76321</t>
  </si>
  <si>
    <t>2_mean_0                  =      8.89461   +/-   0.391414</t>
  </si>
  <si>
    <t>2_sigma_0                 =     -5.77153   +/-   0.36203</t>
  </si>
  <si>
    <t>2_mean_90                 =     -15.6483   +/-   0.477726</t>
  </si>
  <si>
    <t>2_sigma_90                =      7.04299   +/-   0.472821</t>
  </si>
  <si>
    <t>Detector1 (cts</t>
  </si>
  <si>
    <t>Normalização</t>
  </si>
  <si>
    <t>Nc-&gt; Nc * N_sessão5/N_sessão6</t>
  </si>
  <si>
    <t>arredondar a -1?</t>
  </si>
  <si>
    <t>-1?</t>
  </si>
  <si>
    <t>sessão 5</t>
  </si>
  <si>
    <t>AQUISIÇÃO FINAL PARA NORMALIZAR</t>
  </si>
  <si>
    <t>TEMPO DE AQUISIÇÃO DE 2 MIN COM AMBAS AS FONTES NO CENTRO</t>
  </si>
  <si>
    <t>sessão 6</t>
  </si>
  <si>
    <t xml:space="preserve"> </t>
  </si>
  <si>
    <t>z</t>
  </si>
  <si>
    <t>Aquisições de 60 segundos</t>
  </si>
  <si>
    <t>-x</t>
  </si>
  <si>
    <t>-y</t>
  </si>
  <si>
    <t>Na</t>
  </si>
  <si>
    <t>Nb</t>
  </si>
  <si>
    <t>Nc</t>
  </si>
  <si>
    <t>Atenuacao</t>
  </si>
  <si>
    <t>Maneira Carlos</t>
  </si>
  <si>
    <t>Nigerianos</t>
  </si>
  <si>
    <t>Maneira Arede</t>
  </si>
  <si>
    <t>kenianos</t>
  </si>
  <si>
    <t>Malauianos‎</t>
  </si>
  <si>
    <t>Malgaxes‎</t>
  </si>
  <si>
    <t>Incerteza Arede</t>
  </si>
  <si>
    <t>não é para usar quadrática</t>
  </si>
  <si>
    <t>err = Sum |df/dxi| erri</t>
  </si>
  <si>
    <t>Malineses‎</t>
  </si>
  <si>
    <t>theta-&gt;-theta</t>
  </si>
  <si>
    <t>phi -&gt; 3pi/2 - phi</t>
  </si>
  <si>
    <t>dt</t>
  </si>
  <si>
    <t>s</t>
  </si>
  <si>
    <t>Chi2                      =      55956.3</t>
  </si>
  <si>
    <t>Edm                       =  2.52753e-09</t>
  </si>
  <si>
    <t>NCalls                    =          150</t>
  </si>
  <si>
    <t>1_A                       =      467.905   +/-   11.9532</t>
  </si>
  <si>
    <t>1_mean_0                  =      15.3107   +/-   0.162141</t>
  </si>
  <si>
    <t>10uCI</t>
  </si>
  <si>
    <t>1_sigma_0                 =      5.97645   +/-   0.15719</t>
  </si>
  <si>
    <t>1_mean_90                 =     0.448151   +/-   0.192756</t>
  </si>
  <si>
    <t>1_sigma_90                =      6.83423   +/-   0.221178</t>
  </si>
  <si>
    <t>2_A                       =      199.801   +/-   11.8928</t>
  </si>
  <si>
    <t>2_mean_0                  =      1.03041   +/-   0.466343</t>
  </si>
  <si>
    <t>5 uCi</t>
  </si>
  <si>
    <t>2_sigma_0                 =      6.98238   +/-   0.498788</t>
  </si>
  <si>
    <t>2_mean_90                 =     -16.4796   +/-   0.404458</t>
  </si>
  <si>
    <t>2_sigma_90                =      6.98526   +/-   0.461968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</si>
</sst>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2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4"/>
      <color rgb="FF0000FF"/>
      <name val="Arial"/>
      <family val="2"/>
      <scheme val="minor"/>
    </font>
    <font>
      <b/>
      <sz val="10"/>
      <color rgb="FF38761D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38761D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rgb="FF1155CC"/>
      <name val="&quot;Google Sans Mono&quot;"/>
    </font>
    <font>
      <sz val="10"/>
      <color rgb="FFFF0000"/>
      <name val="Arial"/>
      <family val="2"/>
      <scheme val="minor"/>
    </font>
    <font>
      <b/>
      <sz val="11"/>
      <color rgb="FFFF0000"/>
      <name val="&quot;Google Sans&quot;"/>
    </font>
    <font>
      <b/>
      <sz val="10"/>
      <color theme="1"/>
      <name val="Arial"/>
      <family val="2"/>
      <scheme val="minor"/>
    </font>
    <font>
      <b/>
      <sz val="11"/>
      <color rgb="FF1F1F1F"/>
      <name val="&quot;Google Sans&quot;"/>
    </font>
    <font>
      <b/>
      <sz val="15"/>
      <color rgb="FFFFFFFF"/>
      <name val="Arial"/>
      <family val="2"/>
      <scheme val="minor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2"/>
      <color rgb="FF000000"/>
      <name val="Calibri"/>
      <family val="2"/>
    </font>
    <font>
      <sz val="11"/>
      <color rgb="FF4D5156"/>
      <name val="Arial"/>
      <family val="2"/>
    </font>
    <font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0" xfId="0" applyFont="1" applyFill="1"/>
    <xf numFmtId="0" fontId="8" fillId="0" borderId="2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2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0" fontId="13" fillId="2" borderId="0" xfId="0" applyFont="1" applyFill="1"/>
    <xf numFmtId="0" fontId="1" fillId="9" borderId="0" xfId="0" applyFont="1" applyFill="1"/>
    <xf numFmtId="0" fontId="1" fillId="10" borderId="0" xfId="0" applyFont="1" applyFill="1"/>
    <xf numFmtId="2" fontId="1" fillId="0" borderId="2" xfId="0" applyNumberFormat="1" applyFont="1" applyBorder="1" applyAlignment="1">
      <alignment horizontal="center"/>
    </xf>
    <xf numFmtId="164" fontId="1" fillId="8" borderId="0" xfId="0" applyNumberFormat="1" applyFont="1" applyFill="1"/>
    <xf numFmtId="164" fontId="1" fillId="6" borderId="0" xfId="0" applyNumberFormat="1" applyFont="1" applyFill="1"/>
    <xf numFmtId="165" fontId="1" fillId="8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0" fontId="14" fillId="2" borderId="0" xfId="0" applyFont="1" applyFill="1"/>
    <xf numFmtId="0" fontId="1" fillId="11" borderId="0" xfId="0" applyFont="1" applyFill="1"/>
    <xf numFmtId="11" fontId="1" fillId="6" borderId="0" xfId="0" applyNumberFormat="1" applyFont="1" applyFill="1"/>
    <xf numFmtId="4" fontId="1" fillId="7" borderId="0" xfId="0" applyNumberFormat="1" applyFont="1" applyFill="1"/>
    <xf numFmtId="3" fontId="1" fillId="6" borderId="0" xfId="0" applyNumberFormat="1" applyFont="1" applyFill="1"/>
    <xf numFmtId="1" fontId="1" fillId="6" borderId="0" xfId="0" applyNumberFormat="1" applyFont="1" applyFill="1"/>
    <xf numFmtId="0" fontId="1" fillId="7" borderId="0" xfId="0" applyFont="1" applyFill="1" applyAlignment="1">
      <alignment horizontal="left"/>
    </xf>
    <xf numFmtId="2" fontId="1" fillId="0" borderId="0" xfId="0" applyNumberFormat="1" applyFont="1"/>
    <xf numFmtId="3" fontId="1" fillId="7" borderId="0" xfId="0" applyNumberFormat="1" applyFont="1" applyFill="1"/>
    <xf numFmtId="166" fontId="1" fillId="7" borderId="0" xfId="0" applyNumberFormat="1" applyFont="1" applyFill="1"/>
    <xf numFmtId="0" fontId="1" fillId="12" borderId="0" xfId="0" applyFont="1" applyFill="1"/>
    <xf numFmtId="165" fontId="1" fillId="12" borderId="0" xfId="0" applyNumberFormat="1" applyFont="1" applyFill="1"/>
    <xf numFmtId="166" fontId="1" fillId="0" borderId="0" xfId="0" applyNumberFormat="1" applyFont="1"/>
    <xf numFmtId="0" fontId="15" fillId="0" borderId="0" xfId="0" applyFont="1"/>
    <xf numFmtId="165" fontId="1" fillId="0" borderId="0" xfId="0" applyNumberFormat="1" applyFont="1"/>
    <xf numFmtId="0" fontId="15" fillId="8" borderId="0" xfId="0" applyFont="1" applyFill="1"/>
    <xf numFmtId="0" fontId="1" fillId="13" borderId="0" xfId="0" applyFont="1" applyFill="1"/>
    <xf numFmtId="0" fontId="15" fillId="13" borderId="0" xfId="0" applyFont="1" applyFill="1"/>
    <xf numFmtId="164" fontId="1" fillId="0" borderId="0" xfId="0" applyNumberFormat="1" applyFont="1"/>
    <xf numFmtId="165" fontId="15" fillId="0" borderId="0" xfId="0" applyNumberFormat="1" applyFont="1"/>
    <xf numFmtId="2" fontId="1" fillId="9" borderId="0" xfId="0" applyNumberFormat="1" applyFont="1" applyFill="1"/>
    <xf numFmtId="167" fontId="1" fillId="0" borderId="0" xfId="0" applyNumberFormat="1" applyFont="1"/>
    <xf numFmtId="0" fontId="16" fillId="0" borderId="0" xfId="0" applyFont="1"/>
    <xf numFmtId="0" fontId="16" fillId="13" borderId="0" xfId="0" applyFont="1" applyFill="1"/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17" fillId="8" borderId="0" xfId="0" applyFont="1" applyFill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2" fontId="17" fillId="8" borderId="0" xfId="0" applyNumberFormat="1" applyFont="1" applyFill="1" applyAlignment="1">
      <alignment horizontal="right"/>
    </xf>
    <xf numFmtId="2" fontId="17" fillId="0" borderId="0" xfId="0" applyNumberFormat="1" applyFont="1" applyAlignment="1">
      <alignment horizontal="right"/>
    </xf>
    <xf numFmtId="165" fontId="17" fillId="8" borderId="0" xfId="0" applyNumberFormat="1" applyFont="1" applyFill="1" applyAlignment="1">
      <alignment horizontal="right"/>
    </xf>
    <xf numFmtId="0" fontId="18" fillId="3" borderId="0" xfId="0" applyFont="1" applyFill="1"/>
    <xf numFmtId="2" fontId="15" fillId="0" borderId="0" xfId="0" applyNumberFormat="1" applyFont="1"/>
    <xf numFmtId="0" fontId="1" fillId="3" borderId="0" xfId="0" applyFont="1" applyFill="1"/>
    <xf numFmtId="0" fontId="19" fillId="3" borderId="0" xfId="0" applyFont="1" applyFill="1"/>
    <xf numFmtId="0" fontId="20" fillId="3" borderId="0" xfId="0" applyFont="1" applyFill="1" applyAlignment="1">
      <alignment horizontal="right"/>
    </xf>
    <xf numFmtId="20" fontId="1" fillId="9" borderId="0" xfId="0" applyNumberFormat="1" applyFont="1" applyFill="1"/>
    <xf numFmtId="0" fontId="20" fillId="3" borderId="0" xfId="0" applyFont="1" applyFill="1"/>
    <xf numFmtId="0" fontId="17" fillId="9" borderId="0" xfId="0" applyFont="1" applyFill="1"/>
    <xf numFmtId="0" fontId="1" fillId="14" borderId="0" xfId="0" applyFont="1" applyFill="1"/>
    <xf numFmtId="0" fontId="21" fillId="3" borderId="0" xfId="0" applyFont="1" applyFill="1"/>
    <xf numFmtId="0" fontId="21" fillId="3" borderId="0" xfId="0" applyFont="1" applyFill="1" applyAlignment="1">
      <alignment horizontal="right"/>
    </xf>
    <xf numFmtId="2" fontId="21" fillId="3" borderId="0" xfId="0" applyNumberFormat="1" applyFont="1" applyFill="1"/>
    <xf numFmtId="2" fontId="18" fillId="3" borderId="0" xfId="0" applyNumberFormat="1" applyFont="1" applyFill="1"/>
    <xf numFmtId="2" fontId="17" fillId="0" borderId="0" xfId="0" applyNumberFormat="1" applyFont="1"/>
    <xf numFmtId="0" fontId="1" fillId="15" borderId="0" xfId="0" applyFont="1" applyFill="1"/>
    <xf numFmtId="0" fontId="15" fillId="6" borderId="0" xfId="0" applyFont="1" applyFill="1"/>
    <xf numFmtId="0" fontId="22" fillId="16" borderId="0" xfId="0" applyFont="1" applyFill="1"/>
    <xf numFmtId="0" fontId="22" fillId="3" borderId="0" xfId="0" applyFont="1" applyFill="1"/>
    <xf numFmtId="0" fontId="17" fillId="13" borderId="0" xfId="0" applyFont="1" applyFill="1" applyAlignment="1">
      <alignment horizontal="right"/>
    </xf>
    <xf numFmtId="0" fontId="15" fillId="3" borderId="0" xfId="0" applyFont="1" applyFill="1"/>
    <xf numFmtId="2" fontId="1" fillId="8" borderId="0" xfId="0" applyNumberFormat="1" applyFont="1" applyFill="1"/>
    <xf numFmtId="1" fontId="1" fillId="0" borderId="0" xfId="0" applyNumberFormat="1" applyFont="1"/>
    <xf numFmtId="0" fontId="17" fillId="3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2" fontId="21" fillId="3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0" fontId="22" fillId="0" borderId="0" xfId="0" applyFont="1"/>
    <xf numFmtId="0" fontId="2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theta, R (cts/s) and err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'1-dep. Angular'!$W$1</c:f>
              <c:strCache>
                <c:ptCount val="1"/>
                <c:pt idx="0">
                  <c:v>R (cts/s)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'1-dep. Angular'!$V$2:$V$4</c:f>
              <c:numCache>
                <c:formatCode>General</c:formatCode>
                <c:ptCount val="3"/>
                <c:pt idx="0">
                  <c:v>-20</c:v>
                </c:pt>
                <c:pt idx="1">
                  <c:v>-15</c:v>
                </c:pt>
                <c:pt idx="2">
                  <c:v>-12</c:v>
                </c:pt>
              </c:numCache>
            </c:numRef>
          </c:cat>
          <c:val>
            <c:numRef>
              <c:f>'1-dep. Angular'!$W$2:$W$4</c:f>
              <c:numCache>
                <c:formatCode>General</c:formatCode>
                <c:ptCount val="3"/>
                <c:pt idx="0">
                  <c:v>0.62</c:v>
                </c:pt>
                <c:pt idx="1">
                  <c:v>5.25</c:v>
                </c:pt>
                <c:pt idx="2">
                  <c:v>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A-4234-A49F-2044B497E4D7}"/>
            </c:ext>
          </c:extLst>
        </c:ser>
        <c:ser>
          <c:idx val="1"/>
          <c:order val="1"/>
          <c:tx>
            <c:strRef>
              <c:f>'1-dep. Angular'!$X$1</c:f>
              <c:strCache>
                <c:ptCount val="1"/>
                <c:pt idx="0">
                  <c:v>err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'1-dep. Angular'!$V$2:$V$4</c:f>
              <c:numCache>
                <c:formatCode>General</c:formatCode>
                <c:ptCount val="3"/>
                <c:pt idx="0">
                  <c:v>-20</c:v>
                </c:pt>
                <c:pt idx="1">
                  <c:v>-15</c:v>
                </c:pt>
                <c:pt idx="2">
                  <c:v>-12</c:v>
                </c:pt>
              </c:numCache>
            </c:numRef>
          </c:cat>
          <c:val>
            <c:numRef>
              <c:f>'1-dep. Angular'!$X$2:$X$4</c:f>
              <c:numCache>
                <c:formatCode>General</c:formatCode>
                <c:ptCount val="3"/>
                <c:pt idx="0">
                  <c:v>0.08</c:v>
                </c:pt>
                <c:pt idx="1">
                  <c:v>0.31</c:v>
                </c:pt>
                <c:pt idx="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A-4234-A49F-2044B497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05578"/>
        <c:axId val="1425987749"/>
      </c:lineChart>
      <c:catAx>
        <c:axId val="705705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5987749"/>
        <c:crosses val="autoZero"/>
        <c:auto val="1"/>
        <c:lblAlgn val="ctr"/>
        <c:lblOffset val="100"/>
        <c:noMultiLvlLbl val="1"/>
      </c:catAx>
      <c:valAx>
        <c:axId val="1425987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7057055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'4'!$C$5:$C$17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'4'!$H$5:$H$17</c:f>
              <c:numCache>
                <c:formatCode>General</c:formatCode>
                <c:ptCount val="13"/>
                <c:pt idx="0">
                  <c:v>4</c:v>
                </c:pt>
                <c:pt idx="1">
                  <c:v>36</c:v>
                </c:pt>
                <c:pt idx="2">
                  <c:v>96</c:v>
                </c:pt>
                <c:pt idx="3">
                  <c:v>187</c:v>
                </c:pt>
                <c:pt idx="4">
                  <c:v>218</c:v>
                </c:pt>
                <c:pt idx="5">
                  <c:v>218</c:v>
                </c:pt>
                <c:pt idx="6">
                  <c:v>161</c:v>
                </c:pt>
                <c:pt idx="7">
                  <c:v>169</c:v>
                </c:pt>
                <c:pt idx="8">
                  <c:v>248</c:v>
                </c:pt>
                <c:pt idx="9">
                  <c:v>434</c:v>
                </c:pt>
                <c:pt idx="10">
                  <c:v>379</c:v>
                </c:pt>
                <c:pt idx="11">
                  <c:v>185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C60-A1A3-5F8E516E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858992"/>
        <c:axId val="1936860907"/>
      </c:lineChart>
      <c:catAx>
        <c:axId val="9848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36860907"/>
        <c:crosses val="autoZero"/>
        <c:auto val="1"/>
        <c:lblAlgn val="ctr"/>
        <c:lblOffset val="100"/>
        <c:noMultiLvlLbl val="1"/>
      </c:catAx>
      <c:valAx>
        <c:axId val="1936860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84858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'4'!$C$19:$C$31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'4'!$H$19:$H$31</c:f>
              <c:numCache>
                <c:formatCode>General</c:formatCode>
                <c:ptCount val="13"/>
                <c:pt idx="0">
                  <c:v>21</c:v>
                </c:pt>
                <c:pt idx="1">
                  <c:v>57</c:v>
                </c:pt>
                <c:pt idx="2">
                  <c:v>125</c:v>
                </c:pt>
                <c:pt idx="3">
                  <c:v>262</c:v>
                </c:pt>
                <c:pt idx="4">
                  <c:v>213</c:v>
                </c:pt>
                <c:pt idx="5">
                  <c:v>165</c:v>
                </c:pt>
                <c:pt idx="6">
                  <c:v>70</c:v>
                </c:pt>
                <c:pt idx="7">
                  <c:v>81</c:v>
                </c:pt>
                <c:pt idx="8">
                  <c:v>208</c:v>
                </c:pt>
                <c:pt idx="9">
                  <c:v>401</c:v>
                </c:pt>
                <c:pt idx="10">
                  <c:v>420</c:v>
                </c:pt>
                <c:pt idx="11">
                  <c:v>247</c:v>
                </c:pt>
                <c:pt idx="1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5-4768-B6B2-B1ECF526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1426"/>
        <c:axId val="171038535"/>
      </c:lineChart>
      <c:catAx>
        <c:axId val="11886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1038535"/>
        <c:crosses val="autoZero"/>
        <c:auto val="1"/>
        <c:lblAlgn val="ctr"/>
        <c:lblOffset val="100"/>
        <c:noMultiLvlLbl val="1"/>
      </c:catAx>
      <c:valAx>
        <c:axId val="17103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8861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R (cts/s) em comparação com </a:t>
            </a:r>
            <a:r>
              <a:rPr lang="el-GR" b="0">
                <a:solidFill>
                  <a:srgbClr val="757575"/>
                </a:solidFill>
                <a:latin typeface="+mn-lt"/>
              </a:rPr>
              <a:t>θ / </a:t>
            </a:r>
            <a:r>
              <a:rPr lang="pt-PT" b="0">
                <a:solidFill>
                  <a:srgbClr val="757575"/>
                </a:solidFill>
                <a:latin typeface="+mn-lt"/>
              </a:rPr>
              <a:t>º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'2-dep. Angular'!$R$1</c:f>
              <c:strCache>
                <c:ptCount val="1"/>
                <c:pt idx="0">
                  <c:v>R (cts/s)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'2-dep. Angular'!$A$2:$A$28</c:f>
              <c:numCache>
                <c:formatCode>General</c:formatCode>
                <c:ptCount val="27"/>
                <c:pt idx="0">
                  <c:v>-20</c:v>
                </c:pt>
                <c:pt idx="1">
                  <c:v>-15</c:v>
                </c:pt>
                <c:pt idx="2">
                  <c:v>-12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</c:numCache>
            </c:numRef>
          </c:xVal>
          <c:yVal>
            <c:numRef>
              <c:f>'2-dep. Angular'!$R$2:$R$28</c:f>
              <c:numCache>
                <c:formatCode>General</c:formatCode>
                <c:ptCount val="27"/>
                <c:pt idx="0">
                  <c:v>0.85</c:v>
                </c:pt>
                <c:pt idx="1">
                  <c:v>2.9666666666666668</c:v>
                </c:pt>
                <c:pt idx="2">
                  <c:v>18.283333333333335</c:v>
                </c:pt>
                <c:pt idx="3">
                  <c:v>35.1</c:v>
                </c:pt>
                <c:pt idx="4">
                  <c:v>44.65</c:v>
                </c:pt>
                <c:pt idx="5">
                  <c:v>53</c:v>
                </c:pt>
                <c:pt idx="6">
                  <c:v>63</c:v>
                </c:pt>
                <c:pt idx="7">
                  <c:v>71.05</c:v>
                </c:pt>
                <c:pt idx="8">
                  <c:v>75.849999999999994</c:v>
                </c:pt>
                <c:pt idx="9">
                  <c:v>87.15</c:v>
                </c:pt>
                <c:pt idx="10">
                  <c:v>91.25</c:v>
                </c:pt>
                <c:pt idx="11">
                  <c:v>98.85</c:v>
                </c:pt>
                <c:pt idx="12">
                  <c:v>93.8</c:v>
                </c:pt>
                <c:pt idx="13">
                  <c:v>91.4</c:v>
                </c:pt>
                <c:pt idx="14">
                  <c:v>84.85</c:v>
                </c:pt>
                <c:pt idx="15">
                  <c:v>78.05</c:v>
                </c:pt>
                <c:pt idx="16">
                  <c:v>65.849999999999994</c:v>
                </c:pt>
                <c:pt idx="17">
                  <c:v>61.55</c:v>
                </c:pt>
                <c:pt idx="18">
                  <c:v>52.1</c:v>
                </c:pt>
                <c:pt idx="19">
                  <c:v>44.05</c:v>
                </c:pt>
                <c:pt idx="20">
                  <c:v>35.25</c:v>
                </c:pt>
                <c:pt idx="21">
                  <c:v>26.55</c:v>
                </c:pt>
                <c:pt idx="22">
                  <c:v>20.85</c:v>
                </c:pt>
                <c:pt idx="23">
                  <c:v>15.8</c:v>
                </c:pt>
                <c:pt idx="24">
                  <c:v>10.199999999999999</c:v>
                </c:pt>
                <c:pt idx="25">
                  <c:v>1.1000000000000001</c:v>
                </c:pt>
                <c:pt idx="26">
                  <c:v>0.56666666666666665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A-42A3-9B96-6ADF1F19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1860"/>
        <c:axId val="97903964"/>
      </c:scatterChart>
      <c:valAx>
        <c:axId val="1050801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0">
                    <a:solidFill>
                      <a:srgbClr val="000000"/>
                    </a:solidFill>
                    <a:latin typeface="+mn-lt"/>
                  </a:rPr>
                  <a:t>θ / </a:t>
                </a: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7903964"/>
        <c:crosses val="autoZero"/>
        <c:crossBetween val="midCat"/>
      </c:valAx>
      <c:valAx>
        <c:axId val="9790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 (cts/s)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508018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l-GR" b="0">
                <a:solidFill>
                  <a:srgbClr val="757575"/>
                </a:solidFill>
                <a:latin typeface="+mn-lt"/>
              </a:rPr>
              <a:t>θ / </a:t>
            </a:r>
            <a:r>
              <a:rPr lang="pt-PT" b="0">
                <a:solidFill>
                  <a:srgbClr val="757575"/>
                </a:solidFill>
                <a:latin typeface="+mn-lt"/>
              </a:rPr>
              <a:t>º and Coincidências (cts)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'2-dep. Angular'!$A$5:$A$25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'2-dep. Angular'!$P$5:$P$25</c:f>
              <c:numCache>
                <c:formatCode>General</c:formatCode>
                <c:ptCount val="21"/>
                <c:pt idx="0">
                  <c:v>702</c:v>
                </c:pt>
                <c:pt idx="1">
                  <c:v>893</c:v>
                </c:pt>
                <c:pt idx="2">
                  <c:v>1060</c:v>
                </c:pt>
                <c:pt idx="3">
                  <c:v>1260</c:v>
                </c:pt>
                <c:pt idx="4">
                  <c:v>1421</c:v>
                </c:pt>
                <c:pt idx="5">
                  <c:v>1517</c:v>
                </c:pt>
                <c:pt idx="6">
                  <c:v>1743</c:v>
                </c:pt>
                <c:pt idx="7">
                  <c:v>1825</c:v>
                </c:pt>
                <c:pt idx="8">
                  <c:v>1977</c:v>
                </c:pt>
                <c:pt idx="9">
                  <c:v>1876</c:v>
                </c:pt>
                <c:pt idx="10">
                  <c:v>1828</c:v>
                </c:pt>
                <c:pt idx="11">
                  <c:v>1697</c:v>
                </c:pt>
                <c:pt idx="12">
                  <c:v>1561</c:v>
                </c:pt>
                <c:pt idx="13">
                  <c:v>1317</c:v>
                </c:pt>
                <c:pt idx="14">
                  <c:v>1231</c:v>
                </c:pt>
                <c:pt idx="15">
                  <c:v>1042</c:v>
                </c:pt>
                <c:pt idx="16">
                  <c:v>881</c:v>
                </c:pt>
                <c:pt idx="17">
                  <c:v>705</c:v>
                </c:pt>
                <c:pt idx="18">
                  <c:v>531</c:v>
                </c:pt>
                <c:pt idx="19">
                  <c:v>417</c:v>
                </c:pt>
                <c:pt idx="2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C-4951-BB76-0CBA12A0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82519"/>
        <c:axId val="1852187743"/>
      </c:lineChart>
      <c:catAx>
        <c:axId val="26428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52187743"/>
        <c:crosses val="autoZero"/>
        <c:auto val="1"/>
        <c:lblAlgn val="ctr"/>
        <c:lblOffset val="100"/>
        <c:noMultiLvlLbl val="1"/>
      </c:catAx>
      <c:valAx>
        <c:axId val="185218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64282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Fortuitas vs. janela exp. (osciloscópio) (s)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'2-Fortuitas'!$W$1</c:f>
              <c:strCache>
                <c:ptCount val="1"/>
                <c:pt idx="0">
                  <c:v>Fortuitas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'2-Fortuitas'!$U$2:$U$10</c:f>
              <c:numCache>
                <c:formatCode>#,##0</c:formatCode>
                <c:ptCount val="9"/>
                <c:pt idx="0">
                  <c:v>48</c:v>
                </c:pt>
                <c:pt idx="1">
                  <c:v>110.00000000000001</c:v>
                </c:pt>
                <c:pt idx="2">
                  <c:v>145</c:v>
                </c:pt>
                <c:pt idx="3">
                  <c:v>200</c:v>
                </c:pt>
                <c:pt idx="4">
                  <c:v>240</c:v>
                </c:pt>
                <c:pt idx="5">
                  <c:v>440.00000000000006</c:v>
                </c:pt>
                <c:pt idx="6">
                  <c:v>880.00000000000011</c:v>
                </c:pt>
                <c:pt idx="7">
                  <c:v>2050</c:v>
                </c:pt>
                <c:pt idx="8">
                  <c:v>4150</c:v>
                </c:pt>
              </c:numCache>
            </c:numRef>
          </c:cat>
          <c:val>
            <c:numRef>
              <c:f>'2-Fortuitas'!$W$2:$W$10</c:f>
              <c:numCache>
                <c:formatCode>General</c:formatCode>
                <c:ptCount val="9"/>
                <c:pt idx="0">
                  <c:v>24</c:v>
                </c:pt>
                <c:pt idx="1">
                  <c:v>21</c:v>
                </c:pt>
                <c:pt idx="2">
                  <c:v>15</c:v>
                </c:pt>
                <c:pt idx="3">
                  <c:v>33</c:v>
                </c:pt>
                <c:pt idx="4">
                  <c:v>29</c:v>
                </c:pt>
                <c:pt idx="5">
                  <c:v>35</c:v>
                </c:pt>
                <c:pt idx="6">
                  <c:v>47</c:v>
                </c:pt>
                <c:pt idx="7">
                  <c:v>71</c:v>
                </c:pt>
                <c:pt idx="8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F-434C-8B42-FB3B8508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65490"/>
        <c:axId val="1358708496"/>
      </c:lineChart>
      <c:catAx>
        <c:axId val="1510065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janela exp. (osciloscópio) (ns)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58708496"/>
        <c:crosses val="autoZero"/>
        <c:auto val="1"/>
        <c:lblAlgn val="ctr"/>
        <c:lblOffset val="100"/>
        <c:noMultiLvlLbl val="1"/>
      </c:catAx>
      <c:valAx>
        <c:axId val="1358708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Fortuitas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0065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'3-fi,r'!$AA$8:$AA$30</c:f>
              <c:numCache>
                <c:formatCode>General</c:formatCode>
                <c:ptCount val="23"/>
                <c:pt idx="0">
                  <c:v>568.70000000000005</c:v>
                </c:pt>
                <c:pt idx="1">
                  <c:v>538.70000000000005</c:v>
                </c:pt>
                <c:pt idx="2">
                  <c:v>512.79999999999995</c:v>
                </c:pt>
                <c:pt idx="3">
                  <c:v>477.8</c:v>
                </c:pt>
                <c:pt idx="4">
                  <c:v>460.3</c:v>
                </c:pt>
                <c:pt idx="5" formatCode="0.0">
                  <c:v>437</c:v>
                </c:pt>
                <c:pt idx="6">
                  <c:v>412.8</c:v>
                </c:pt>
                <c:pt idx="7">
                  <c:v>388.4</c:v>
                </c:pt>
                <c:pt idx="8">
                  <c:v>372.7</c:v>
                </c:pt>
                <c:pt idx="9" formatCode="0.0">
                  <c:v>349</c:v>
                </c:pt>
                <c:pt idx="10">
                  <c:v>330.8</c:v>
                </c:pt>
                <c:pt idx="11">
                  <c:v>317.89999999999998</c:v>
                </c:pt>
                <c:pt idx="12" formatCode="0.0">
                  <c:v>303</c:v>
                </c:pt>
                <c:pt idx="13">
                  <c:v>288.60000000000002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E-4785-A4D7-CBE27682003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'3-fi,r'!$AC$8:$AC$30</c:f>
              <c:numCache>
                <c:formatCode>General</c:formatCode>
                <c:ptCount val="23"/>
                <c:pt idx="0">
                  <c:v>489.6</c:v>
                </c:pt>
                <c:pt idx="1">
                  <c:v>473.6</c:v>
                </c:pt>
                <c:pt idx="2">
                  <c:v>455.4</c:v>
                </c:pt>
                <c:pt idx="3">
                  <c:v>437.4</c:v>
                </c:pt>
                <c:pt idx="4">
                  <c:v>423.2</c:v>
                </c:pt>
                <c:pt idx="5">
                  <c:v>408.2</c:v>
                </c:pt>
                <c:pt idx="6">
                  <c:v>398.3</c:v>
                </c:pt>
                <c:pt idx="7">
                  <c:v>375.9</c:v>
                </c:pt>
                <c:pt idx="8" formatCode="0.0">
                  <c:v>363</c:v>
                </c:pt>
                <c:pt idx="9">
                  <c:v>346.2</c:v>
                </c:pt>
                <c:pt idx="10">
                  <c:v>336.4</c:v>
                </c:pt>
                <c:pt idx="11" formatCode="0.0">
                  <c:v>324</c:v>
                </c:pt>
                <c:pt idx="12" formatCode="0.0">
                  <c:v>312</c:v>
                </c:pt>
                <c:pt idx="13">
                  <c:v>298.89999999999998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785-A4D7-CBE27682003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'3-fi,r'!$AE$8:$AE$30</c:f>
              <c:numCache>
                <c:formatCode>0.0</c:formatCode>
                <c:ptCount val="23"/>
                <c:pt idx="1">
                  <c:v>421.9</c:v>
                </c:pt>
                <c:pt idx="2">
                  <c:v>410.9</c:v>
                </c:pt>
                <c:pt idx="3">
                  <c:v>404.2</c:v>
                </c:pt>
                <c:pt idx="4">
                  <c:v>391.7</c:v>
                </c:pt>
                <c:pt idx="5">
                  <c:v>384.4</c:v>
                </c:pt>
                <c:pt idx="6">
                  <c:v>378.5</c:v>
                </c:pt>
                <c:pt idx="7">
                  <c:v>364.2</c:v>
                </c:pt>
                <c:pt idx="8">
                  <c:v>352.8</c:v>
                </c:pt>
                <c:pt idx="9">
                  <c:v>344</c:v>
                </c:pt>
                <c:pt idx="10">
                  <c:v>341.4</c:v>
                </c:pt>
                <c:pt idx="11">
                  <c:v>331.4</c:v>
                </c:pt>
                <c:pt idx="12">
                  <c:v>324.2</c:v>
                </c:pt>
                <c:pt idx="13">
                  <c:v>313.7</c:v>
                </c:pt>
                <c:pt idx="14">
                  <c:v>311.89999999999998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E-4785-A4D7-CBE276820035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'3-fi,r'!$AG$8:$AG$30</c:f>
              <c:numCache>
                <c:formatCode>General</c:formatCode>
                <c:ptCount val="23"/>
                <c:pt idx="6">
                  <c:v>273.60000000000002</c:v>
                </c:pt>
                <c:pt idx="7">
                  <c:v>271.60000000000002</c:v>
                </c:pt>
                <c:pt idx="8">
                  <c:v>270.8</c:v>
                </c:pt>
                <c:pt idx="9">
                  <c:v>260.7</c:v>
                </c:pt>
                <c:pt idx="10">
                  <c:v>265.10000000000002</c:v>
                </c:pt>
                <c:pt idx="11">
                  <c:v>256.10000000000002</c:v>
                </c:pt>
                <c:pt idx="12">
                  <c:v>252.4</c:v>
                </c:pt>
                <c:pt idx="13">
                  <c:v>253.3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E-4785-A4D7-CBE276820035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'3-fi,r'!$AI$8:$AI$30</c:f>
              <c:numCache>
                <c:formatCode>General</c:formatCode>
                <c:ptCount val="23"/>
                <c:pt idx="9">
                  <c:v>251.6</c:v>
                </c:pt>
                <c:pt idx="10">
                  <c:v>257.89999999999998</c:v>
                </c:pt>
                <c:pt idx="11">
                  <c:v>256.60000000000002</c:v>
                </c:pt>
                <c:pt idx="12">
                  <c:v>262.39999999999998</c:v>
                </c:pt>
                <c:pt idx="13">
                  <c:v>262.5</c:v>
                </c:pt>
                <c:pt idx="14" formatCode="0.0">
                  <c:v>267</c:v>
                </c:pt>
                <c:pt idx="15">
                  <c:v>274.39999999999998</c:v>
                </c:pt>
                <c:pt idx="16">
                  <c:v>275.7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E-4785-A4D7-CBE276820035}"/>
            </c:ext>
          </c:extLst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'3-fi,r'!$AK$8:$AK$30</c:f>
              <c:numCache>
                <c:formatCode>General</c:formatCode>
                <c:ptCount val="23"/>
                <c:pt idx="10">
                  <c:v>246.2</c:v>
                </c:pt>
                <c:pt idx="11">
                  <c:v>256.10000000000002</c:v>
                </c:pt>
                <c:pt idx="12">
                  <c:v>262.8</c:v>
                </c:pt>
                <c:pt idx="13">
                  <c:v>264.10000000000002</c:v>
                </c:pt>
                <c:pt idx="14">
                  <c:v>274.60000000000002</c:v>
                </c:pt>
                <c:pt idx="15">
                  <c:v>281.39999999999998</c:v>
                </c:pt>
                <c:pt idx="16">
                  <c:v>288.8</c:v>
                </c:pt>
                <c:pt idx="17">
                  <c:v>296.3</c:v>
                </c:pt>
                <c:pt idx="18">
                  <c:v>300.7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E-4785-A4D7-CBE276820035}"/>
            </c:ext>
          </c:extLst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'3-fi,r'!$AM$8:$AM$30</c:f>
              <c:numCache>
                <c:formatCode>General</c:formatCode>
                <c:ptCount val="23"/>
                <c:pt idx="11">
                  <c:v>247.4</c:v>
                </c:pt>
                <c:pt idx="12">
                  <c:v>254.6</c:v>
                </c:pt>
                <c:pt idx="13">
                  <c:v>265.60000000000002</c:v>
                </c:pt>
                <c:pt idx="14">
                  <c:v>273.60000000000002</c:v>
                </c:pt>
                <c:pt idx="15">
                  <c:v>284.89999999999998</c:v>
                </c:pt>
                <c:pt idx="16">
                  <c:v>298.39999999999998</c:v>
                </c:pt>
                <c:pt idx="17">
                  <c:v>303.60000000000002</c:v>
                </c:pt>
                <c:pt idx="18">
                  <c:v>317.89999999999998</c:v>
                </c:pt>
                <c:pt idx="19">
                  <c:v>328.1</c:v>
                </c:pt>
                <c:pt idx="20">
                  <c:v>342.6</c:v>
                </c:pt>
                <c:pt idx="21">
                  <c:v>355.2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E-4785-A4D7-CBE276820035}"/>
            </c:ext>
          </c:extLst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'3-fi,r'!$Z$8:$Z$30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'3-fi,r'!$AO$8:$AO$30</c:f>
              <c:numCache>
                <c:formatCode>General</c:formatCode>
                <c:ptCount val="23"/>
                <c:pt idx="11">
                  <c:v>236.6</c:v>
                </c:pt>
                <c:pt idx="12" formatCode="0.0">
                  <c:v>246</c:v>
                </c:pt>
                <c:pt idx="13">
                  <c:v>261.10000000000002</c:v>
                </c:pt>
                <c:pt idx="14">
                  <c:v>274.89999999999998</c:v>
                </c:pt>
                <c:pt idx="15">
                  <c:v>290.5</c:v>
                </c:pt>
                <c:pt idx="16">
                  <c:v>304.10000000000002</c:v>
                </c:pt>
                <c:pt idx="17">
                  <c:v>312.7</c:v>
                </c:pt>
                <c:pt idx="18">
                  <c:v>333.4</c:v>
                </c:pt>
                <c:pt idx="19">
                  <c:v>354.9</c:v>
                </c:pt>
                <c:pt idx="20">
                  <c:v>369.8</c:v>
                </c:pt>
                <c:pt idx="21">
                  <c:v>389.9</c:v>
                </c:pt>
                <c:pt idx="22" formatCode="0.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E-4785-A4D7-CBE27682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75343"/>
        <c:axId val="1635590971"/>
      </c:lineChart>
      <c:catAx>
        <c:axId val="132087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635590971"/>
        <c:crosses val="autoZero"/>
        <c:auto val="1"/>
        <c:lblAlgn val="ctr"/>
        <c:lblOffset val="100"/>
        <c:noMultiLvlLbl val="1"/>
      </c:catAx>
      <c:valAx>
        <c:axId val="163559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208753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'3-fi,r'!$AA$32</c:f>
              <c:strCache>
                <c:ptCount val="1"/>
                <c:pt idx="0">
                  <c:v>Rc(-4)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'3-fi,r'!$AA$33:$AA$56</c:f>
              <c:numCache>
                <c:formatCode>0.0</c:formatCode>
                <c:ptCount val="24"/>
                <c:pt idx="0" formatCode="General">
                  <c:v>0.57999999999999996</c:v>
                </c:pt>
                <c:pt idx="1">
                  <c:v>1.6</c:v>
                </c:pt>
                <c:pt idx="2" formatCode="General">
                  <c:v>9.2799999999999994</c:v>
                </c:pt>
                <c:pt idx="3" formatCode="0.00">
                  <c:v>46.9</c:v>
                </c:pt>
                <c:pt idx="4" formatCode="General">
                  <c:v>83.7</c:v>
                </c:pt>
                <c:pt idx="5" formatCode="General">
                  <c:v>100.4</c:v>
                </c:pt>
                <c:pt idx="6" formatCode="General">
                  <c:v>62.6</c:v>
                </c:pt>
                <c:pt idx="7" formatCode="General">
                  <c:v>20.37</c:v>
                </c:pt>
                <c:pt idx="8" formatCode="General">
                  <c:v>1.42</c:v>
                </c:pt>
                <c:pt idx="9" formatCode="General">
                  <c:v>0.63</c:v>
                </c:pt>
                <c:pt idx="10" formatCode="General">
                  <c:v>0.55000000000000004</c:v>
                </c:pt>
                <c:pt idx="11" formatCode="General">
                  <c:v>0.32</c:v>
                </c:pt>
                <c:pt idx="12" formatCode="General">
                  <c:v>0.35</c:v>
                </c:pt>
                <c:pt idx="13" formatCode="General">
                  <c:v>0.28000000000000003</c:v>
                </c:pt>
                <c:pt idx="23" formatCode="General">
                  <c:v>23.498571428571431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8-437F-83E9-05AB7F34828F}"/>
            </c:ext>
          </c:extLst>
        </c:ser>
        <c:ser>
          <c:idx val="1"/>
          <c:order val="1"/>
          <c:tx>
            <c:strRef>
              <c:f>'3-fi,r'!$AC$32</c:f>
              <c:strCache>
                <c:ptCount val="1"/>
                <c:pt idx="0">
                  <c:v>Rc(-3)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'3-fi,r'!$AC$33:$AC$56</c:f>
              <c:numCache>
                <c:formatCode>General</c:formatCode>
                <c:ptCount val="24"/>
                <c:pt idx="0">
                  <c:v>0.43</c:v>
                </c:pt>
                <c:pt idx="1">
                  <c:v>0.65</c:v>
                </c:pt>
                <c:pt idx="2">
                  <c:v>0.88</c:v>
                </c:pt>
                <c:pt idx="3">
                  <c:v>2.13</c:v>
                </c:pt>
                <c:pt idx="4">
                  <c:v>17.78</c:v>
                </c:pt>
                <c:pt idx="5">
                  <c:v>54.12</c:v>
                </c:pt>
                <c:pt idx="6">
                  <c:v>90.4</c:v>
                </c:pt>
                <c:pt idx="7">
                  <c:v>80.2</c:v>
                </c:pt>
                <c:pt idx="8">
                  <c:v>39.049999999999997</c:v>
                </c:pt>
                <c:pt idx="9">
                  <c:v>6.37</c:v>
                </c:pt>
                <c:pt idx="10">
                  <c:v>0.83</c:v>
                </c:pt>
                <c:pt idx="11">
                  <c:v>0.67</c:v>
                </c:pt>
                <c:pt idx="12">
                  <c:v>0.63</c:v>
                </c:pt>
                <c:pt idx="13">
                  <c:v>0.27</c:v>
                </c:pt>
                <c:pt idx="23">
                  <c:v>21.029285714285713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8-437F-83E9-05AB7F34828F}"/>
            </c:ext>
          </c:extLst>
        </c:ser>
        <c:ser>
          <c:idx val="2"/>
          <c:order val="2"/>
          <c:tx>
            <c:strRef>
              <c:f>'3-fi,r'!$AE$32</c:f>
              <c:strCache>
                <c:ptCount val="1"/>
                <c:pt idx="0">
                  <c:v>Rc(-2)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'3-fi,r'!$AE$33:$AE$56</c:f>
              <c:numCache>
                <c:formatCode>0.00</c:formatCode>
                <c:ptCount val="24"/>
                <c:pt idx="1">
                  <c:v>0.35</c:v>
                </c:pt>
                <c:pt idx="2">
                  <c:v>0.52</c:v>
                </c:pt>
                <c:pt idx="3">
                  <c:v>0.85</c:v>
                </c:pt>
                <c:pt idx="4">
                  <c:v>1.3</c:v>
                </c:pt>
                <c:pt idx="5">
                  <c:v>4.28</c:v>
                </c:pt>
                <c:pt idx="6">
                  <c:v>30.03</c:v>
                </c:pt>
                <c:pt idx="7">
                  <c:v>67.400000000000006</c:v>
                </c:pt>
                <c:pt idx="8">
                  <c:v>92.1</c:v>
                </c:pt>
                <c:pt idx="9">
                  <c:v>59.4</c:v>
                </c:pt>
                <c:pt idx="10">
                  <c:v>20.58</c:v>
                </c:pt>
                <c:pt idx="11">
                  <c:v>1.1000000000000001</c:v>
                </c:pt>
                <c:pt idx="12">
                  <c:v>0.75</c:v>
                </c:pt>
                <c:pt idx="13">
                  <c:v>0.62</c:v>
                </c:pt>
                <c:pt idx="14">
                  <c:v>0.37</c:v>
                </c:pt>
                <c:pt idx="23" formatCode="General">
                  <c:v>19.974999999999998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8-437F-83E9-05AB7F34828F}"/>
            </c:ext>
          </c:extLst>
        </c:ser>
        <c:ser>
          <c:idx val="3"/>
          <c:order val="3"/>
          <c:tx>
            <c:strRef>
              <c:f>'3-fi,r'!$AG$32</c:f>
              <c:strCache>
                <c:ptCount val="1"/>
                <c:pt idx="0">
                  <c:v>Rc(-1)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'3-fi,r'!$AG$33:$AG$56</c:f>
              <c:numCache>
                <c:formatCode>General</c:formatCode>
                <c:ptCount val="24"/>
                <c:pt idx="6">
                  <c:v>0.57999999999999996</c:v>
                </c:pt>
                <c:pt idx="7" formatCode="0.0">
                  <c:v>1</c:v>
                </c:pt>
                <c:pt idx="8">
                  <c:v>8.5299999999999994</c:v>
                </c:pt>
                <c:pt idx="9" formatCode="0.00">
                  <c:v>21.1</c:v>
                </c:pt>
                <c:pt idx="10">
                  <c:v>40.270000000000003</c:v>
                </c:pt>
                <c:pt idx="11">
                  <c:v>26.03</c:v>
                </c:pt>
                <c:pt idx="12">
                  <c:v>6.72</c:v>
                </c:pt>
                <c:pt idx="13">
                  <c:v>0.45</c:v>
                </c:pt>
                <c:pt idx="23">
                  <c:v>13.085000000000001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8-437F-83E9-05AB7F34828F}"/>
            </c:ext>
          </c:extLst>
        </c:ser>
        <c:ser>
          <c:idx val="4"/>
          <c:order val="4"/>
          <c:tx>
            <c:strRef>
              <c:f>'3-fi,r'!$AI$32</c:f>
              <c:strCache>
                <c:ptCount val="1"/>
                <c:pt idx="0">
                  <c:v>Rc(1)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'3-fi,r'!$AI$33:$AI$56</c:f>
              <c:numCache>
                <c:formatCode>General</c:formatCode>
                <c:ptCount val="24"/>
                <c:pt idx="9">
                  <c:v>0.53</c:v>
                </c:pt>
                <c:pt idx="10">
                  <c:v>3.53</c:v>
                </c:pt>
                <c:pt idx="11">
                  <c:v>13.9</c:v>
                </c:pt>
                <c:pt idx="12" formatCode="0.00">
                  <c:v>30.5</c:v>
                </c:pt>
                <c:pt idx="13">
                  <c:v>38.07</c:v>
                </c:pt>
                <c:pt idx="14">
                  <c:v>25.28</c:v>
                </c:pt>
                <c:pt idx="15">
                  <c:v>10.8</c:v>
                </c:pt>
                <c:pt idx="16">
                  <c:v>0.56999999999999995</c:v>
                </c:pt>
                <c:pt idx="23">
                  <c:v>15.397499999999999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8-437F-83E9-05AB7F34828F}"/>
            </c:ext>
          </c:extLst>
        </c:ser>
        <c:ser>
          <c:idx val="5"/>
          <c:order val="5"/>
          <c:tx>
            <c:strRef>
              <c:f>'3-fi,r'!$AK$32</c:f>
              <c:strCache>
                <c:ptCount val="1"/>
                <c:pt idx="0">
                  <c:v>Rc(2)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'3-fi,r'!$AK$33:$AK$56</c:f>
              <c:numCache>
                <c:formatCode>General</c:formatCode>
                <c:ptCount val="24"/>
                <c:pt idx="10">
                  <c:v>0.38</c:v>
                </c:pt>
                <c:pt idx="11">
                  <c:v>0.77</c:v>
                </c:pt>
                <c:pt idx="12" formatCode="0.00">
                  <c:v>8</c:v>
                </c:pt>
                <c:pt idx="13">
                  <c:v>19.43</c:v>
                </c:pt>
                <c:pt idx="14">
                  <c:v>37.369999999999997</c:v>
                </c:pt>
                <c:pt idx="15">
                  <c:v>32.35</c:v>
                </c:pt>
                <c:pt idx="16">
                  <c:v>19.149999999999999</c:v>
                </c:pt>
                <c:pt idx="17">
                  <c:v>3.92</c:v>
                </c:pt>
                <c:pt idx="18">
                  <c:v>0.65</c:v>
                </c:pt>
                <c:pt idx="23">
                  <c:v>13.557777777777778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8-437F-83E9-05AB7F34828F}"/>
            </c:ext>
          </c:extLst>
        </c:ser>
        <c:ser>
          <c:idx val="6"/>
          <c:order val="6"/>
          <c:tx>
            <c:strRef>
              <c:f>'3-fi,r'!$AM$32</c:f>
              <c:strCache>
                <c:ptCount val="1"/>
                <c:pt idx="0">
                  <c:v>Rc(3)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'3-fi,r'!$AM$33:$AM$56</c:f>
              <c:numCache>
                <c:formatCode>General</c:formatCode>
                <c:ptCount val="24"/>
                <c:pt idx="11">
                  <c:v>0.45</c:v>
                </c:pt>
                <c:pt idx="12">
                  <c:v>0.65</c:v>
                </c:pt>
                <c:pt idx="13">
                  <c:v>2.4300000000000002</c:v>
                </c:pt>
                <c:pt idx="14">
                  <c:v>13.1</c:v>
                </c:pt>
                <c:pt idx="15">
                  <c:v>30.12</c:v>
                </c:pt>
                <c:pt idx="16">
                  <c:v>38.93</c:v>
                </c:pt>
                <c:pt idx="17" formatCode="0.00">
                  <c:v>26.5</c:v>
                </c:pt>
                <c:pt idx="18" formatCode="0.00">
                  <c:v>9.8000000000000007</c:v>
                </c:pt>
                <c:pt idx="19">
                  <c:v>1.1000000000000001</c:v>
                </c:pt>
                <c:pt idx="20">
                  <c:v>0.72</c:v>
                </c:pt>
                <c:pt idx="21">
                  <c:v>0.45</c:v>
                </c:pt>
                <c:pt idx="23">
                  <c:v>11.295454545454545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8-437F-83E9-05AB7F34828F}"/>
            </c:ext>
          </c:extLst>
        </c:ser>
        <c:ser>
          <c:idx val="7"/>
          <c:order val="7"/>
          <c:tx>
            <c:strRef>
              <c:f>'3-fi,r'!$AO$32</c:f>
              <c:strCache>
                <c:ptCount val="1"/>
                <c:pt idx="0">
                  <c:v>Rc(4)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'3-fi,r'!$Z$33:$Z$56</c:f>
              <c:numCache>
                <c:formatCode>General</c:formatCode>
                <c:ptCount val="24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'3-fi,r'!$AO$33:$AO$56</c:f>
              <c:numCache>
                <c:formatCode>General</c:formatCode>
                <c:ptCount val="24"/>
                <c:pt idx="11">
                  <c:v>0.38</c:v>
                </c:pt>
                <c:pt idx="12">
                  <c:v>0.48</c:v>
                </c:pt>
                <c:pt idx="13" formatCode="0.00">
                  <c:v>0.4</c:v>
                </c:pt>
                <c:pt idx="14">
                  <c:v>0.53</c:v>
                </c:pt>
                <c:pt idx="15">
                  <c:v>6.47</c:v>
                </c:pt>
                <c:pt idx="16">
                  <c:v>20.079999999999998</c:v>
                </c:pt>
                <c:pt idx="17">
                  <c:v>35.35</c:v>
                </c:pt>
                <c:pt idx="18">
                  <c:v>33.82</c:v>
                </c:pt>
                <c:pt idx="19">
                  <c:v>19.079999999999998</c:v>
                </c:pt>
                <c:pt idx="20">
                  <c:v>3.85</c:v>
                </c:pt>
                <c:pt idx="21">
                  <c:v>0.65</c:v>
                </c:pt>
                <c:pt idx="22" formatCode="0.00">
                  <c:v>0.6</c:v>
                </c:pt>
                <c:pt idx="23">
                  <c:v>10.140833333333331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8-437F-83E9-05AB7F34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07777"/>
        <c:axId val="46495742"/>
      </c:lineChart>
      <c:catAx>
        <c:axId val="92680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6495742"/>
        <c:crosses val="autoZero"/>
        <c:auto val="1"/>
        <c:lblAlgn val="ctr"/>
        <c:lblOffset val="100"/>
        <c:noMultiLvlLbl val="1"/>
      </c:catAx>
      <c:valAx>
        <c:axId val="46495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268077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R1_med and err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'3-fi,r'!$AA$62</c:f>
              <c:strCache>
                <c:ptCount val="1"/>
                <c:pt idx="0">
                  <c:v>R1_med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'3-fi,r'!$Z$63:$Z$70</c:f>
              <c:numCache>
                <c:formatCode>0.00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'3-fi,r'!$AA$63:$AA$70</c:f>
              <c:numCache>
                <c:formatCode>General</c:formatCode>
                <c:ptCount val="8"/>
                <c:pt idx="0">
                  <c:v>291.10000000000002</c:v>
                </c:pt>
                <c:pt idx="1">
                  <c:v>296.3</c:v>
                </c:pt>
                <c:pt idx="2">
                  <c:v>303.3</c:v>
                </c:pt>
                <c:pt idx="3">
                  <c:v>230.7</c:v>
                </c:pt>
                <c:pt idx="4">
                  <c:v>225.4</c:v>
                </c:pt>
                <c:pt idx="5" formatCode="0.0">
                  <c:v>219</c:v>
                </c:pt>
                <c:pt idx="6">
                  <c:v>213.4</c:v>
                </c:pt>
                <c:pt idx="7">
                  <c:v>207.4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5-419F-AB9E-1A6FD419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796351"/>
        <c:axId val="1972559793"/>
      </c:lineChart>
      <c:catAx>
        <c:axId val="26079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72559793"/>
        <c:crosses val="autoZero"/>
        <c:auto val="1"/>
        <c:lblAlgn val="ctr"/>
        <c:lblOffset val="100"/>
        <c:noMultiLvlLbl val="1"/>
      </c:catAx>
      <c:valAx>
        <c:axId val="1972559793"/>
        <c:scaling>
          <c:orientation val="minMax"/>
          <c:max val="3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60796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'3-fi,r'!$BS$7</c:f>
              <c:strCache>
                <c:ptCount val="1"/>
                <c:pt idx="0">
                  <c:v>R2(-4)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'3-fi,r'!$BS$8:$BS$30</c:f>
              <c:numCache>
                <c:formatCode>0.000</c:formatCode>
                <c:ptCount val="23"/>
                <c:pt idx="1">
                  <c:v>1.1970000000000001</c:v>
                </c:pt>
                <c:pt idx="2" formatCode="General">
                  <c:v>1.139</c:v>
                </c:pt>
                <c:pt idx="3" formatCode="General">
                  <c:v>1.0620000000000001</c:v>
                </c:pt>
                <c:pt idx="4" formatCode="General">
                  <c:v>1.0229999999999999</c:v>
                </c:pt>
                <c:pt idx="5" formatCode="General">
                  <c:v>0.97099999999999997</c:v>
                </c:pt>
                <c:pt idx="6" formatCode="General">
                  <c:v>0.91700000000000004</c:v>
                </c:pt>
                <c:pt idx="7" formatCode="General">
                  <c:v>0.86299999999999999</c:v>
                </c:pt>
                <c:pt idx="8" formatCode="General">
                  <c:v>0.82809999999999995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F-49AD-99F3-C2374543EE05}"/>
            </c:ext>
          </c:extLst>
        </c:ser>
        <c:ser>
          <c:idx val="1"/>
          <c:order val="1"/>
          <c:tx>
            <c:strRef>
              <c:f>'3-fi,r'!$BU$7</c:f>
              <c:strCache>
                <c:ptCount val="1"/>
                <c:pt idx="0">
                  <c:v>R2(-3)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'3-fi,r'!$BU$8:$BU$30</c:f>
              <c:numCache>
                <c:formatCode>0.000</c:formatCode>
                <c:ptCount val="23"/>
                <c:pt idx="2" formatCode="General">
                  <c:v>1.1559999999999999</c:v>
                </c:pt>
                <c:pt idx="3" formatCode="General">
                  <c:v>1.111</c:v>
                </c:pt>
                <c:pt idx="4" formatCode="General">
                  <c:v>1.075</c:v>
                </c:pt>
                <c:pt idx="5">
                  <c:v>1.0369999999999999</c:v>
                </c:pt>
                <c:pt idx="6" formatCode="General">
                  <c:v>1.0109999999999999</c:v>
                </c:pt>
                <c:pt idx="7" formatCode="0.0000">
                  <c:v>0.9546</c:v>
                </c:pt>
                <c:pt idx="8" formatCode="General">
                  <c:v>0.92179999999999995</c:v>
                </c:pt>
                <c:pt idx="9" formatCode="General">
                  <c:v>0.87919999999999998</c:v>
                </c:pt>
                <c:pt idx="10" formatCode="General">
                  <c:v>0.85429999999999995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F-49AD-99F3-C2374543EE05}"/>
            </c:ext>
          </c:extLst>
        </c:ser>
        <c:ser>
          <c:idx val="2"/>
          <c:order val="2"/>
          <c:tx>
            <c:strRef>
              <c:f>'3-fi,r'!$BW$7</c:f>
              <c:strCache>
                <c:ptCount val="1"/>
                <c:pt idx="0">
                  <c:v>R2(-2)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'3-fi,r'!$BW$8:$BW$30</c:f>
              <c:numCache>
                <c:formatCode>0.000</c:formatCode>
                <c:ptCount val="23"/>
                <c:pt idx="4" formatCode="General">
                  <c:v>1.085</c:v>
                </c:pt>
                <c:pt idx="5" formatCode="General">
                  <c:v>1.0649999999999999</c:v>
                </c:pt>
                <c:pt idx="6">
                  <c:v>1.048</c:v>
                </c:pt>
                <c:pt idx="7" formatCode="0.0000">
                  <c:v>1.0086999999999999</c:v>
                </c:pt>
                <c:pt idx="8" formatCode="0.0000">
                  <c:v>0.97709999999999997</c:v>
                </c:pt>
                <c:pt idx="9" formatCode="General">
                  <c:v>0.95279999999999998</c:v>
                </c:pt>
                <c:pt idx="10" formatCode="General">
                  <c:v>0.9456</c:v>
                </c:pt>
                <c:pt idx="11" formatCode="General">
                  <c:v>0.91790000000000005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F-49AD-99F3-C2374543EE05}"/>
            </c:ext>
          </c:extLst>
        </c:ser>
        <c:ser>
          <c:idx val="3"/>
          <c:order val="3"/>
          <c:tx>
            <c:strRef>
              <c:f>'3-fi,r'!$BY$7</c:f>
              <c:strCache>
                <c:ptCount val="1"/>
                <c:pt idx="0">
                  <c:v>R2(-1)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'3-fi,r'!$BY$8:$BY$30</c:f>
              <c:numCache>
                <c:formatCode>General</c:formatCode>
                <c:ptCount val="23"/>
                <c:pt idx="6" formatCode="0.000">
                  <c:v>1.0409999999999999</c:v>
                </c:pt>
                <c:pt idx="7" formatCode="0.000">
                  <c:v>1.0329999999999999</c:v>
                </c:pt>
                <c:pt idx="8" formatCode="0.000">
                  <c:v>1.03</c:v>
                </c:pt>
                <c:pt idx="9" formatCode="0.0000">
                  <c:v>0.99139999999999995</c:v>
                </c:pt>
                <c:pt idx="10" formatCode="0.000">
                  <c:v>1.008</c:v>
                </c:pt>
                <c:pt idx="11" formatCode="0.0000">
                  <c:v>0.97389999999999999</c:v>
                </c:pt>
                <c:pt idx="12" formatCode="0.0000">
                  <c:v>0.95989999999999998</c:v>
                </c:pt>
                <c:pt idx="13" formatCode="0.0000">
                  <c:v>0.96330000000000005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F-49AD-99F3-C2374543EE05}"/>
            </c:ext>
          </c:extLst>
        </c:ser>
        <c:ser>
          <c:idx val="4"/>
          <c:order val="4"/>
          <c:tx>
            <c:strRef>
              <c:f>'3-fi,r'!$CA$7</c:f>
              <c:strCache>
                <c:ptCount val="1"/>
                <c:pt idx="0">
                  <c:v>R2(1)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'3-fi,r'!$CA$8:$CA$30</c:f>
              <c:numCache>
                <c:formatCode>General</c:formatCode>
                <c:ptCount val="23"/>
                <c:pt idx="9" formatCode="0.0000">
                  <c:v>0.95479999999999998</c:v>
                </c:pt>
                <c:pt idx="10" formatCode="0.0000">
                  <c:v>0.97870000000000001</c:v>
                </c:pt>
                <c:pt idx="11" formatCode="0.0000">
                  <c:v>0.9738</c:v>
                </c:pt>
                <c:pt idx="12" formatCode="0.000">
                  <c:v>0.996</c:v>
                </c:pt>
                <c:pt idx="13" formatCode="0.000">
                  <c:v>0.996</c:v>
                </c:pt>
                <c:pt idx="14" formatCode="0.000">
                  <c:v>1.0129999999999999</c:v>
                </c:pt>
                <c:pt idx="15" formatCode="0.000">
                  <c:v>1.0409999999999999</c:v>
                </c:pt>
                <c:pt idx="16" formatCode="0.000">
                  <c:v>1.046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F-49AD-99F3-C2374543EE05}"/>
            </c:ext>
          </c:extLst>
        </c:ser>
        <c:ser>
          <c:idx val="5"/>
          <c:order val="5"/>
          <c:tx>
            <c:strRef>
              <c:f>'3-fi,r'!$CC$7</c:f>
              <c:strCache>
                <c:ptCount val="1"/>
                <c:pt idx="0">
                  <c:v>R2(2)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'3-fi,r'!$CC$8:$CC$30</c:f>
              <c:numCache>
                <c:formatCode>General</c:formatCode>
                <c:ptCount val="23"/>
                <c:pt idx="10" formatCode="0.0000">
                  <c:v>0.89670000000000005</c:v>
                </c:pt>
                <c:pt idx="11" formatCode="0.0000">
                  <c:v>0.93279999999999996</c:v>
                </c:pt>
                <c:pt idx="12" formatCode="0.000">
                  <c:v>0.95699999999999996</c:v>
                </c:pt>
                <c:pt idx="13" formatCode="0.000">
                  <c:v>0.96199999999999997</c:v>
                </c:pt>
                <c:pt idx="14" formatCode="0.000">
                  <c:v>1</c:v>
                </c:pt>
                <c:pt idx="15" formatCode="0.000">
                  <c:v>1.0249999999999999</c:v>
                </c:pt>
                <c:pt idx="16" formatCode="0.000">
                  <c:v>1.052</c:v>
                </c:pt>
                <c:pt idx="17" formatCode="0.000">
                  <c:v>1.079</c:v>
                </c:pt>
                <c:pt idx="18" formatCode="0.000">
                  <c:v>1.095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F-49AD-99F3-C2374543EE05}"/>
            </c:ext>
          </c:extLst>
        </c:ser>
        <c:ser>
          <c:idx val="6"/>
          <c:order val="6"/>
          <c:tx>
            <c:strRef>
              <c:f>'3-fi,r'!$CE$7</c:f>
              <c:strCache>
                <c:ptCount val="1"/>
                <c:pt idx="0">
                  <c:v>R2(3)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'3-fi,r'!$CE$8:$CE$30</c:f>
              <c:numCache>
                <c:formatCode>General</c:formatCode>
                <c:ptCount val="23"/>
                <c:pt idx="11" formatCode="0.0000">
                  <c:v>0.83169999999999999</c:v>
                </c:pt>
                <c:pt idx="12" formatCode="0.0000">
                  <c:v>0.85599999999999998</c:v>
                </c:pt>
                <c:pt idx="13" formatCode="0.000">
                  <c:v>0.89300000000000002</c:v>
                </c:pt>
                <c:pt idx="14" formatCode="0.000">
                  <c:v>0.92</c:v>
                </c:pt>
                <c:pt idx="15" formatCode="0.000">
                  <c:v>0.95799999999999996</c:v>
                </c:pt>
                <c:pt idx="16" formatCode="0.000">
                  <c:v>1.0029999999999999</c:v>
                </c:pt>
                <c:pt idx="17" formatCode="0.000">
                  <c:v>1.0209999999999999</c:v>
                </c:pt>
                <c:pt idx="18" formatCode="0.000">
                  <c:v>1.069</c:v>
                </c:pt>
                <c:pt idx="19" formatCode="0.000">
                  <c:v>1.103</c:v>
                </c:pt>
                <c:pt idx="20" formatCode="0.000">
                  <c:v>1.1519999999999999</c:v>
                </c:pt>
                <c:pt idx="21" formatCode="0.000">
                  <c:v>1.194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6F-49AD-99F3-C2374543EE05}"/>
            </c:ext>
          </c:extLst>
        </c:ser>
        <c:ser>
          <c:idx val="7"/>
          <c:order val="7"/>
          <c:tx>
            <c:strRef>
              <c:f>'3-fi,r'!$CG$7</c:f>
              <c:strCache>
                <c:ptCount val="1"/>
                <c:pt idx="0">
                  <c:v>R2(4)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'3-fi,r'!$BR$8:$BR$30</c:f>
              <c:numCache>
                <c:formatCode>General</c:formatCode>
                <c:ptCount val="2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'3-fi,r'!$CG$8:$CG$30</c:f>
              <c:numCache>
                <c:formatCode>General</c:formatCode>
                <c:ptCount val="23"/>
                <c:pt idx="11" formatCode="0.0000">
                  <c:v>0.75070000000000003</c:v>
                </c:pt>
                <c:pt idx="12" formatCode="0.0000">
                  <c:v>0.78059999999999996</c:v>
                </c:pt>
                <c:pt idx="13" formatCode="0.000">
                  <c:v>0.82799999999999996</c:v>
                </c:pt>
                <c:pt idx="14" formatCode="0.000">
                  <c:v>0.872</c:v>
                </c:pt>
                <c:pt idx="15" formatCode="0.000">
                  <c:v>0.92200000000000004</c:v>
                </c:pt>
                <c:pt idx="16" formatCode="0.000">
                  <c:v>0.96499999999999997</c:v>
                </c:pt>
                <c:pt idx="17" formatCode="0.000">
                  <c:v>0.99199999999999999</c:v>
                </c:pt>
                <c:pt idx="18" formatCode="0.000">
                  <c:v>1.0580000000000001</c:v>
                </c:pt>
                <c:pt idx="19" formatCode="0.000">
                  <c:v>1.1259999999999999</c:v>
                </c:pt>
                <c:pt idx="20" formatCode="0.000">
                  <c:v>1.173</c:v>
                </c:pt>
                <c:pt idx="21" formatCode="0.000">
                  <c:v>1.2370000000000001</c:v>
                </c:pt>
                <c:pt idx="22" formatCode="0.000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6F-49AD-99F3-C2374543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41551"/>
        <c:axId val="98883468"/>
      </c:lineChart>
      <c:catAx>
        <c:axId val="114394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8883468"/>
        <c:crosses val="autoZero"/>
        <c:auto val="1"/>
        <c:lblAlgn val="ctr"/>
        <c:lblOffset val="100"/>
        <c:noMultiLvlLbl val="1"/>
      </c:catAx>
      <c:valAx>
        <c:axId val="9888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43941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pico/theta vs. pos fonte (x)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'3-fi,r'!$BC$53</c:f>
              <c:strCache>
                <c:ptCount val="1"/>
                <c:pt idx="0">
                  <c:v>pico/theta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'3-fi,r'!$BB$54:$BB$61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'3-fi,r'!$BC$54:$BC$61</c:f>
              <c:numCache>
                <c:formatCode>General</c:formatCode>
                <c:ptCount val="8"/>
                <c:pt idx="0">
                  <c:v>-30</c:v>
                </c:pt>
                <c:pt idx="1">
                  <c:v>-25</c:v>
                </c:pt>
                <c:pt idx="2">
                  <c:v>-15</c:v>
                </c:pt>
                <c:pt idx="3">
                  <c:v>-5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  <c:pt idx="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A-49A2-8F72-2C4A88B4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58922"/>
        <c:axId val="615204932"/>
      </c:scatterChart>
      <c:valAx>
        <c:axId val="1090858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 fonte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15204932"/>
        <c:crosses val="autoZero"/>
        <c:crossBetween val="midCat"/>
      </c:valAx>
      <c:valAx>
        <c:axId val="61520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pico/theta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08589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314325</xdr:colOff>
      <xdr:row>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30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285750</xdr:colOff>
      <xdr:row>28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352425</xdr:colOff>
      <xdr:row>1</xdr:row>
      <xdr:rowOff>180975</xdr:rowOff>
    </xdr:from>
    <xdr:ext cx="4419600" cy="3467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76200</xdr:colOff>
      <xdr:row>5</xdr:row>
      <xdr:rowOff>38100</xdr:rowOff>
    </xdr:from>
    <xdr:ext cx="8477250" cy="52292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42</xdr:col>
      <xdr:colOff>76200</xdr:colOff>
      <xdr:row>30</xdr:row>
      <xdr:rowOff>133350</xdr:rowOff>
    </xdr:from>
    <xdr:ext cx="8477250" cy="5057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42</xdr:col>
      <xdr:colOff>742950</xdr:colOff>
      <xdr:row>56</xdr:row>
      <xdr:rowOff>95250</xdr:rowOff>
    </xdr:from>
    <xdr:ext cx="8477250" cy="52292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52</xdr:col>
      <xdr:colOff>495300</xdr:colOff>
      <xdr:row>24</xdr:row>
      <xdr:rowOff>171450</xdr:rowOff>
    </xdr:from>
    <xdr:ext cx="8391525" cy="52292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55</xdr:col>
      <xdr:colOff>57150</xdr:colOff>
      <xdr:row>52</xdr:row>
      <xdr:rowOff>47625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4</xdr:row>
      <xdr:rowOff>171450</xdr:rowOff>
    </xdr:from>
    <xdr:ext cx="3581400" cy="22193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190500</xdr:colOff>
      <xdr:row>19</xdr:row>
      <xdr:rowOff>38100</xdr:rowOff>
    </xdr:from>
    <xdr:ext cx="3581400" cy="22193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workbookViewId="0"/>
  </sheetViews>
  <sheetFormatPr defaultColWidth="12.6640625" defaultRowHeight="15.75" customHeight="1"/>
  <cols>
    <col min="1" max="1" width="15.88671875" customWidth="1"/>
    <col min="2" max="2" width="17.6640625" customWidth="1"/>
    <col min="3" max="3" width="13.88671875" customWidth="1"/>
    <col min="4" max="4" width="14.44140625" customWidth="1"/>
    <col min="5" max="5" width="15.21875" customWidth="1"/>
    <col min="6" max="6" width="15" customWidth="1"/>
    <col min="7" max="7" width="22.109375" customWidth="1"/>
    <col min="8" max="8" width="13.6640625" customWidth="1"/>
  </cols>
  <sheetData>
    <row r="1" spans="1:8">
      <c r="A1" s="1" t="s">
        <v>0</v>
      </c>
      <c r="B1" s="1">
        <f>2*SQRT(2*LN(2))</f>
        <v>2.3548200450309493</v>
      </c>
    </row>
    <row r="2" spans="1:8" ht="15.75" customHeight="1">
      <c r="A2" s="2" t="s">
        <v>1</v>
      </c>
    </row>
    <row r="3" spans="1:8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5" t="s">
        <v>8</v>
      </c>
      <c r="H3" s="5"/>
    </row>
    <row r="4" spans="1:8">
      <c r="A4" s="6"/>
      <c r="B4" s="7"/>
      <c r="C4" s="6"/>
      <c r="D4" s="7"/>
      <c r="E4" s="6"/>
      <c r="F4" s="7"/>
      <c r="G4" s="8" t="e">
        <f>A4/A6*(E6/$B$1/0.1)^2</f>
        <v>#DIV/0!</v>
      </c>
      <c r="H4" s="5"/>
    </row>
    <row r="5" spans="1:8">
      <c r="A5" s="3" t="s">
        <v>9</v>
      </c>
      <c r="B5" s="4" t="s">
        <v>10</v>
      </c>
      <c r="C5" s="3" t="s">
        <v>11</v>
      </c>
      <c r="D5" s="4" t="s">
        <v>12</v>
      </c>
      <c r="E5" s="3" t="s">
        <v>13</v>
      </c>
      <c r="F5" s="4" t="s">
        <v>14</v>
      </c>
      <c r="G5" s="3" t="s">
        <v>15</v>
      </c>
      <c r="H5" s="4" t="s">
        <v>16</v>
      </c>
    </row>
    <row r="6" spans="1:8">
      <c r="A6" s="6"/>
      <c r="B6" s="9"/>
      <c r="C6" s="6"/>
      <c r="D6" s="7"/>
      <c r="E6" s="6"/>
      <c r="F6" s="7"/>
      <c r="G6" s="6"/>
      <c r="H6" s="7" t="e">
        <f>A8/SQRT(A6)</f>
        <v>#DIV/0!</v>
      </c>
    </row>
    <row r="7" spans="1:8">
      <c r="A7" s="3" t="s">
        <v>17</v>
      </c>
      <c r="B7" s="10" t="s">
        <v>18</v>
      </c>
      <c r="C7" s="5"/>
      <c r="D7" s="5"/>
      <c r="E7" s="5"/>
      <c r="F7" s="5"/>
      <c r="G7" s="5"/>
      <c r="H7" s="5"/>
    </row>
    <row r="8" spans="1:8">
      <c r="A8" s="6">
        <f t="shared" ref="A8:B8" si="0">E6/$B$1</f>
        <v>0</v>
      </c>
      <c r="B8" s="7">
        <f t="shared" si="0"/>
        <v>0</v>
      </c>
      <c r="C8" s="5"/>
      <c r="D8" s="5"/>
      <c r="E8" s="5"/>
      <c r="F8" s="5"/>
      <c r="G8" s="5"/>
      <c r="H8" s="5"/>
    </row>
    <row r="9" spans="1:8">
      <c r="B9" s="11" t="s">
        <v>19</v>
      </c>
      <c r="C9" s="12" t="s">
        <v>20</v>
      </c>
      <c r="D9" s="11" t="s">
        <v>21</v>
      </c>
      <c r="E9" s="12" t="s">
        <v>22</v>
      </c>
    </row>
    <row r="10" spans="1:8">
      <c r="A10" s="1" t="s">
        <v>23</v>
      </c>
      <c r="B10" s="13">
        <f>G6-3*A8</f>
        <v>0</v>
      </c>
      <c r="C10" s="13" t="e">
        <f>H6+3*B8</f>
        <v>#DIV/0!</v>
      </c>
      <c r="D10" s="13">
        <f t="shared" ref="D10:E10" si="1">G6+3*A8</f>
        <v>0</v>
      </c>
      <c r="E10" s="13" t="e">
        <f t="shared" si="1"/>
        <v>#DIV/0!</v>
      </c>
    </row>
    <row r="11" spans="1:8">
      <c r="A11" s="1" t="s">
        <v>24</v>
      </c>
      <c r="B11" s="13"/>
      <c r="C11" s="13"/>
      <c r="D11" s="13"/>
      <c r="E11" s="13"/>
    </row>
    <row r="12" spans="1:8">
      <c r="A12" s="1" t="s">
        <v>25</v>
      </c>
      <c r="B12" s="13"/>
      <c r="C12" s="13"/>
      <c r="D12" s="13"/>
      <c r="E12" s="13"/>
    </row>
    <row r="13" spans="1:8" ht="15.75" customHeight="1">
      <c r="A13" s="2" t="s">
        <v>26</v>
      </c>
    </row>
    <row r="14" spans="1:8">
      <c r="A14" s="3" t="s">
        <v>2</v>
      </c>
      <c r="B14" s="4" t="s">
        <v>3</v>
      </c>
      <c r="C14" s="3" t="s">
        <v>4</v>
      </c>
      <c r="D14" s="4" t="s">
        <v>5</v>
      </c>
      <c r="E14" s="3" t="s">
        <v>6</v>
      </c>
      <c r="F14" s="4" t="s">
        <v>7</v>
      </c>
      <c r="G14" s="5" t="s">
        <v>8</v>
      </c>
    </row>
    <row r="15" spans="1:8">
      <c r="A15" s="6"/>
      <c r="B15" s="7"/>
      <c r="C15" s="6"/>
      <c r="D15" s="7"/>
      <c r="E15" s="6"/>
      <c r="F15" s="7"/>
      <c r="G15" s="8" t="e">
        <f>A15/A17*(E17/$B$1/0.1)^2</f>
        <v>#DIV/0!</v>
      </c>
    </row>
    <row r="16" spans="1:8" ht="13.2">
      <c r="A16" s="3" t="s">
        <v>9</v>
      </c>
      <c r="B16" s="4" t="s">
        <v>10</v>
      </c>
      <c r="C16" s="3" t="s">
        <v>11</v>
      </c>
      <c r="D16" s="4" t="s">
        <v>12</v>
      </c>
      <c r="E16" s="3" t="s">
        <v>13</v>
      </c>
      <c r="F16" s="4" t="s">
        <v>14</v>
      </c>
      <c r="G16" s="3" t="s">
        <v>15</v>
      </c>
      <c r="H16" s="4" t="s">
        <v>16</v>
      </c>
    </row>
    <row r="17" spans="1:8" ht="13.2">
      <c r="A17" s="6"/>
      <c r="B17" s="7"/>
      <c r="C17" s="6"/>
      <c r="D17" s="7"/>
      <c r="E17" s="6"/>
      <c r="F17" s="7"/>
      <c r="G17" s="6"/>
      <c r="H17" s="7" t="e">
        <f>A19/SQRT(A17)</f>
        <v>#DIV/0!</v>
      </c>
    </row>
    <row r="18" spans="1:8" ht="13.8">
      <c r="A18" s="3" t="s">
        <v>17</v>
      </c>
      <c r="B18" s="10" t="s">
        <v>18</v>
      </c>
      <c r="C18" s="5"/>
      <c r="D18" s="5"/>
      <c r="E18" s="5"/>
      <c r="F18" s="5"/>
      <c r="G18" s="5"/>
      <c r="H18" s="5"/>
    </row>
    <row r="19" spans="1:8" ht="13.2">
      <c r="A19" s="6">
        <f t="shared" ref="A19:B19" si="2">E17/$B$1</f>
        <v>0</v>
      </c>
      <c r="B19" s="7">
        <f t="shared" si="2"/>
        <v>0</v>
      </c>
    </row>
    <row r="20" spans="1:8" ht="13.8">
      <c r="B20" s="11" t="s">
        <v>19</v>
      </c>
      <c r="C20" s="12" t="s">
        <v>20</v>
      </c>
      <c r="D20" s="11" t="s">
        <v>21</v>
      </c>
      <c r="E20" s="12" t="s">
        <v>22</v>
      </c>
    </row>
    <row r="21" spans="1:8" ht="13.2">
      <c r="A21" s="1" t="s">
        <v>23</v>
      </c>
      <c r="B21" s="13">
        <f>G17-3*A19</f>
        <v>0</v>
      </c>
      <c r="C21" s="13" t="e">
        <f>H17+3*B19</f>
        <v>#DIV/0!</v>
      </c>
      <c r="D21" s="13">
        <f t="shared" ref="D21:E21" si="3">G17+3*A19</f>
        <v>0</v>
      </c>
      <c r="E21" s="13" t="e">
        <f t="shared" si="3"/>
        <v>#DIV/0!</v>
      </c>
      <c r="F21" s="5"/>
      <c r="G21" s="5"/>
      <c r="H21" s="5"/>
    </row>
    <row r="22" spans="1:8" ht="13.2">
      <c r="A22" s="1" t="s">
        <v>24</v>
      </c>
      <c r="B22" s="13"/>
      <c r="C22" s="13"/>
      <c r="D22" s="13"/>
      <c r="E22" s="13"/>
      <c r="F22" s="5"/>
      <c r="G22" s="5"/>
      <c r="H22" s="5"/>
    </row>
    <row r="23" spans="1:8" ht="13.2">
      <c r="A23" s="1" t="s">
        <v>25</v>
      </c>
      <c r="B23" s="13"/>
      <c r="C23" s="13"/>
      <c r="D23" s="13"/>
      <c r="E23" s="13"/>
      <c r="F23" s="5"/>
      <c r="G23" s="5"/>
      <c r="H2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27"/>
  <sheetViews>
    <sheetView workbookViewId="0"/>
  </sheetViews>
  <sheetFormatPr defaultColWidth="12.6640625" defaultRowHeight="15.75" customHeight="1"/>
  <cols>
    <col min="1" max="1" width="9.109375" customWidth="1"/>
    <col min="2" max="2" width="7.44140625" customWidth="1"/>
    <col min="3" max="3" width="5.109375" customWidth="1"/>
    <col min="4" max="5" width="7.33203125" customWidth="1"/>
    <col min="6" max="6" width="8.88671875" customWidth="1"/>
    <col min="7" max="7" width="6.6640625" customWidth="1"/>
    <col min="8" max="8" width="9.21875" customWidth="1"/>
    <col min="9" max="9" width="7.44140625" customWidth="1"/>
    <col min="10" max="10" width="8.33203125" customWidth="1"/>
    <col min="11" max="11" width="7.21875" customWidth="1"/>
    <col min="12" max="14" width="8.6640625" customWidth="1"/>
    <col min="15" max="16" width="7.88671875" customWidth="1"/>
    <col min="17" max="17" width="10" hidden="1" customWidth="1"/>
    <col min="18" max="18" width="10.6640625" customWidth="1"/>
    <col min="19" max="19" width="9.77734375" customWidth="1"/>
    <col min="20" max="20" width="8.6640625" customWidth="1"/>
    <col min="21" max="21" width="8.88671875" customWidth="1"/>
    <col min="22" max="22" width="6.77734375" customWidth="1"/>
    <col min="23" max="23" width="6.33203125" customWidth="1"/>
    <col min="24" max="24" width="6.88671875" customWidth="1"/>
    <col min="25" max="25" width="10.21875" customWidth="1"/>
    <col min="26" max="26" width="8.6640625" customWidth="1"/>
    <col min="27" max="27" width="7.33203125" customWidth="1"/>
  </cols>
  <sheetData>
    <row r="1" spans="1:24">
      <c r="A1" s="15" t="s">
        <v>73</v>
      </c>
      <c r="B1" s="15" t="s">
        <v>74</v>
      </c>
      <c r="C1" s="15" t="s">
        <v>44</v>
      </c>
      <c r="D1" s="15" t="s">
        <v>75</v>
      </c>
      <c r="E1" s="15" t="s">
        <v>76</v>
      </c>
      <c r="F1" s="15" t="s">
        <v>47</v>
      </c>
      <c r="G1" s="15" t="s">
        <v>44</v>
      </c>
      <c r="H1" s="15" t="s">
        <v>48</v>
      </c>
      <c r="I1" s="15" t="s">
        <v>44</v>
      </c>
      <c r="J1" s="15" t="s">
        <v>78</v>
      </c>
      <c r="K1" s="15" t="s">
        <v>44</v>
      </c>
      <c r="L1" s="15" t="s">
        <v>79</v>
      </c>
      <c r="M1" s="15" t="s">
        <v>44</v>
      </c>
      <c r="N1" s="15" t="s">
        <v>51</v>
      </c>
      <c r="O1" s="15" t="s">
        <v>79</v>
      </c>
      <c r="P1" s="15" t="s">
        <v>44</v>
      </c>
      <c r="Q1" s="15"/>
      <c r="R1" s="1" t="s">
        <v>80</v>
      </c>
      <c r="T1" s="1" t="s">
        <v>81</v>
      </c>
      <c r="U1" s="15" t="s">
        <v>82</v>
      </c>
      <c r="V1" s="15" t="s">
        <v>76</v>
      </c>
      <c r="W1" s="15" t="str">
        <f t="shared" ref="W1:X1" si="0">J1</f>
        <v>Fortuitas</v>
      </c>
      <c r="X1" s="15" t="str">
        <f t="shared" si="0"/>
        <v>err</v>
      </c>
    </row>
    <row r="2" spans="1:24">
      <c r="A2" s="17">
        <v>50</v>
      </c>
      <c r="B2" s="33">
        <f>4.8*10</f>
        <v>48</v>
      </c>
      <c r="C2" s="34">
        <v>1</v>
      </c>
      <c r="D2" s="32">
        <f t="shared" ref="D2:E2" si="1">B2*10^-9</f>
        <v>4.8000000000000006E-8</v>
      </c>
      <c r="E2" s="32">
        <f t="shared" si="1"/>
        <v>1.0000000000000001E-9</v>
      </c>
      <c r="F2" s="17">
        <v>39856</v>
      </c>
      <c r="G2" s="17">
        <f t="shared" ref="G2:G11" si="2">ROUND( SQRT(F2),0)</f>
        <v>200</v>
      </c>
      <c r="H2" s="17">
        <v>36308</v>
      </c>
      <c r="I2" s="17">
        <f t="shared" ref="I2:I11" si="3">ROUND( SQRT(H2),0)</f>
        <v>191</v>
      </c>
      <c r="J2" s="17">
        <v>24</v>
      </c>
      <c r="K2" s="17">
        <f t="shared" ref="K2:K11" si="4">ROUND( SQRT(J2),0)</f>
        <v>5</v>
      </c>
      <c r="L2" s="35">
        <f t="shared" ref="L2:L11" si="5">2*F2*H2/$R$2 *10^-9</f>
        <v>2.4118194133333333E-2</v>
      </c>
      <c r="M2" s="35">
        <f t="shared" ref="M2:M11" si="6">2* ( ABS(G2*H2/$R$2) + ABS(F2*I2/$R$2) + ABS($S$2*F2*H2/$R$2/$R$2) ) *10^-9</f>
        <v>3.6849257066666669E-4</v>
      </c>
      <c r="N2" s="28">
        <v>5</v>
      </c>
      <c r="O2" s="28">
        <f t="shared" ref="O2:O11" si="7">ROUND(L2,N2)</f>
        <v>2.4119999999999999E-2</v>
      </c>
      <c r="P2" s="28">
        <f t="shared" ref="P2:P11" si="8">ROUND(M2,N2)</f>
        <v>3.6999999999999999E-4</v>
      </c>
      <c r="Q2" s="28">
        <f t="shared" ref="Q2:Q12" si="9">P2^2</f>
        <v>1.3689999999999999E-7</v>
      </c>
      <c r="R2" s="36">
        <f>'2-dep. Angular'!I2</f>
        <v>120</v>
      </c>
      <c r="S2" s="36">
        <f>'2-dep. Angular'!J2</f>
        <v>0.6</v>
      </c>
      <c r="U2" s="37">
        <f t="shared" ref="U2:V2" si="10">B2</f>
        <v>48</v>
      </c>
      <c r="V2" s="37">
        <f t="shared" si="10"/>
        <v>1</v>
      </c>
      <c r="W2" s="17">
        <f t="shared" ref="W2:X2" si="11">J2</f>
        <v>24</v>
      </c>
      <c r="X2" s="17">
        <f t="shared" si="11"/>
        <v>5</v>
      </c>
    </row>
    <row r="3" spans="1:24">
      <c r="A3" s="17">
        <v>100</v>
      </c>
      <c r="B3" s="34">
        <f>4.4*25</f>
        <v>110.00000000000001</v>
      </c>
      <c r="C3" s="17">
        <f>ROUND(0.1*25,0)</f>
        <v>3</v>
      </c>
      <c r="D3" s="32">
        <f t="shared" ref="D3:E3" si="12">B3*10^-9</f>
        <v>1.1000000000000002E-7</v>
      </c>
      <c r="E3" s="32">
        <f t="shared" si="12"/>
        <v>3.0000000000000004E-9</v>
      </c>
      <c r="F3" s="17">
        <v>39461</v>
      </c>
      <c r="G3" s="17">
        <f t="shared" si="2"/>
        <v>199</v>
      </c>
      <c r="H3" s="17">
        <v>35994</v>
      </c>
      <c r="I3" s="17">
        <f t="shared" si="3"/>
        <v>190</v>
      </c>
      <c r="J3" s="17">
        <v>21</v>
      </c>
      <c r="K3" s="17">
        <f t="shared" si="4"/>
        <v>5</v>
      </c>
      <c r="L3" s="35">
        <f t="shared" si="5"/>
        <v>2.36726539E-2</v>
      </c>
      <c r="M3" s="35">
        <f t="shared" si="6"/>
        <v>3.6270320283333338E-4</v>
      </c>
      <c r="N3" s="28">
        <v>5</v>
      </c>
      <c r="O3" s="28">
        <f t="shared" si="7"/>
        <v>2.367E-2</v>
      </c>
      <c r="P3" s="28">
        <f t="shared" si="8"/>
        <v>3.6000000000000002E-4</v>
      </c>
      <c r="Q3" s="28">
        <f t="shared" si="9"/>
        <v>1.2960000000000002E-7</v>
      </c>
      <c r="U3" s="37">
        <f t="shared" ref="U3:V3" si="13">B3</f>
        <v>110.00000000000001</v>
      </c>
      <c r="V3" s="37">
        <f t="shared" si="13"/>
        <v>3</v>
      </c>
      <c r="W3" s="17">
        <f t="shared" ref="W3:X3" si="14">J3</f>
        <v>21</v>
      </c>
      <c r="X3" s="17">
        <f t="shared" si="14"/>
        <v>5</v>
      </c>
    </row>
    <row r="4" spans="1:24">
      <c r="A4" s="17">
        <v>150</v>
      </c>
      <c r="B4" s="17">
        <f>2.9*50</f>
        <v>145</v>
      </c>
      <c r="C4" s="17">
        <f>50*0.1</f>
        <v>5</v>
      </c>
      <c r="D4" s="32">
        <f t="shared" ref="D4:E4" si="15">B4*10^-9</f>
        <v>1.4500000000000001E-7</v>
      </c>
      <c r="E4" s="32">
        <f t="shared" si="15"/>
        <v>5.0000000000000001E-9</v>
      </c>
      <c r="F4" s="17">
        <v>39571</v>
      </c>
      <c r="G4" s="17">
        <f t="shared" si="2"/>
        <v>199</v>
      </c>
      <c r="H4" s="17">
        <v>35852</v>
      </c>
      <c r="I4" s="17">
        <f t="shared" si="3"/>
        <v>189</v>
      </c>
      <c r="J4" s="17">
        <v>15</v>
      </c>
      <c r="K4" s="17">
        <f t="shared" si="4"/>
        <v>4</v>
      </c>
      <c r="L4" s="35">
        <f t="shared" si="5"/>
        <v>2.3644991533333336E-2</v>
      </c>
      <c r="M4" s="35">
        <f t="shared" si="6"/>
        <v>3.6178274100000002E-4</v>
      </c>
      <c r="N4" s="28">
        <v>5</v>
      </c>
      <c r="O4" s="28">
        <f t="shared" si="7"/>
        <v>2.3640000000000001E-2</v>
      </c>
      <c r="P4" s="28">
        <f t="shared" si="8"/>
        <v>3.6000000000000002E-4</v>
      </c>
      <c r="Q4" s="28">
        <f t="shared" si="9"/>
        <v>1.2960000000000002E-7</v>
      </c>
      <c r="R4" s="1" t="s">
        <v>83</v>
      </c>
      <c r="U4" s="37">
        <f t="shared" ref="U4:V4" si="16">B4</f>
        <v>145</v>
      </c>
      <c r="V4" s="37">
        <f t="shared" si="16"/>
        <v>5</v>
      </c>
      <c r="W4" s="17">
        <f t="shared" ref="W4:X4" si="17">J4</f>
        <v>15</v>
      </c>
      <c r="X4" s="17">
        <f t="shared" si="17"/>
        <v>4</v>
      </c>
    </row>
    <row r="5" spans="1:24">
      <c r="A5" s="17">
        <v>200</v>
      </c>
      <c r="B5" s="17">
        <f>2*100</f>
        <v>200</v>
      </c>
      <c r="C5" s="17">
        <f>0.1*100</f>
        <v>10</v>
      </c>
      <c r="D5" s="32">
        <f t="shared" ref="D5:E5" si="18">B5*10^-9</f>
        <v>2.0000000000000002E-7</v>
      </c>
      <c r="E5" s="32">
        <f t="shared" si="18"/>
        <v>1E-8</v>
      </c>
      <c r="F5" s="17">
        <v>39852</v>
      </c>
      <c r="G5" s="17">
        <f t="shared" si="2"/>
        <v>200</v>
      </c>
      <c r="H5" s="17">
        <v>36350</v>
      </c>
      <c r="I5" s="17">
        <f t="shared" si="3"/>
        <v>191</v>
      </c>
      <c r="J5" s="17">
        <v>33</v>
      </c>
      <c r="K5" s="17">
        <f t="shared" si="4"/>
        <v>6</v>
      </c>
      <c r="L5" s="35">
        <f t="shared" si="5"/>
        <v>2.4143670000000002E-2</v>
      </c>
      <c r="M5" s="35">
        <f t="shared" si="6"/>
        <v>3.687472166666667E-4</v>
      </c>
      <c r="N5" s="28">
        <v>5</v>
      </c>
      <c r="O5" s="28">
        <f t="shared" si="7"/>
        <v>2.4140000000000002E-2</v>
      </c>
      <c r="P5" s="28">
        <f t="shared" si="8"/>
        <v>3.6999999999999999E-4</v>
      </c>
      <c r="Q5" s="28">
        <f t="shared" si="9"/>
        <v>1.3689999999999999E-7</v>
      </c>
      <c r="R5" s="1">
        <f>2*F2*H2*D2/$R$2</f>
        <v>1.1576733184000001</v>
      </c>
      <c r="S5" s="1">
        <f>2*SQRT( (G2*H2*D2/$R$2)^2 + (F2*I2*D2/$R$2)^2 + (F2*H2*E2/$R$2)^2 + ($S$2*F2*H2*D2/$R$2/$R$2)^2 )</f>
        <v>2.6192141401552991E-2</v>
      </c>
      <c r="U5" s="37">
        <f t="shared" ref="U5:V5" si="19">B5</f>
        <v>200</v>
      </c>
      <c r="V5" s="37">
        <f t="shared" si="19"/>
        <v>10</v>
      </c>
      <c r="W5" s="17">
        <f t="shared" ref="W5:X5" si="20">J5</f>
        <v>33</v>
      </c>
      <c r="X5" s="17">
        <f t="shared" si="20"/>
        <v>6</v>
      </c>
    </row>
    <row r="6" spans="1:24">
      <c r="A6" s="17">
        <v>250</v>
      </c>
      <c r="B6" s="17">
        <f>4.8*50</f>
        <v>240</v>
      </c>
      <c r="C6" s="17">
        <f>0.1*50</f>
        <v>5</v>
      </c>
      <c r="D6" s="32">
        <f t="shared" ref="D6:E6" si="21">B6*10^-9</f>
        <v>2.4000000000000003E-7</v>
      </c>
      <c r="E6" s="32">
        <f t="shared" si="21"/>
        <v>5.0000000000000001E-9</v>
      </c>
      <c r="F6" s="17">
        <v>39640</v>
      </c>
      <c r="G6" s="17">
        <f t="shared" si="2"/>
        <v>199</v>
      </c>
      <c r="H6" s="17">
        <v>36060</v>
      </c>
      <c r="I6" s="17">
        <f t="shared" si="3"/>
        <v>190</v>
      </c>
      <c r="J6" s="17">
        <v>29</v>
      </c>
      <c r="K6" s="17">
        <f t="shared" si="4"/>
        <v>5</v>
      </c>
      <c r="L6" s="35">
        <f t="shared" si="5"/>
        <v>2.382364E-2</v>
      </c>
      <c r="M6" s="35">
        <f t="shared" si="6"/>
        <v>3.642438666666667E-4</v>
      </c>
      <c r="N6" s="28">
        <v>5</v>
      </c>
      <c r="O6" s="28">
        <f t="shared" si="7"/>
        <v>2.3820000000000001E-2</v>
      </c>
      <c r="P6" s="28">
        <f t="shared" si="8"/>
        <v>3.6000000000000002E-4</v>
      </c>
      <c r="Q6" s="28">
        <f t="shared" si="9"/>
        <v>1.2960000000000002E-7</v>
      </c>
      <c r="U6" s="37">
        <f t="shared" ref="U6:V6" si="22">B6</f>
        <v>240</v>
      </c>
      <c r="V6" s="37">
        <f t="shared" si="22"/>
        <v>5</v>
      </c>
      <c r="W6" s="17">
        <f t="shared" ref="W6:X6" si="23">J6</f>
        <v>29</v>
      </c>
      <c r="X6" s="17">
        <f t="shared" si="23"/>
        <v>5</v>
      </c>
    </row>
    <row r="7" spans="1:24">
      <c r="A7" s="17">
        <v>500</v>
      </c>
      <c r="B7" s="17">
        <f>4.4*100</f>
        <v>440.00000000000006</v>
      </c>
      <c r="C7" s="17">
        <f t="shared" ref="C7:C8" si="24">0.1*100</f>
        <v>10</v>
      </c>
      <c r="D7" s="32">
        <f t="shared" ref="D7:E7" si="25">B7*10^-9</f>
        <v>4.4000000000000008E-7</v>
      </c>
      <c r="E7" s="32">
        <f t="shared" si="25"/>
        <v>1E-8</v>
      </c>
      <c r="F7" s="17">
        <v>39181</v>
      </c>
      <c r="G7" s="17">
        <f t="shared" si="2"/>
        <v>198</v>
      </c>
      <c r="H7" s="17">
        <v>36139</v>
      </c>
      <c r="I7" s="17">
        <f t="shared" si="3"/>
        <v>190</v>
      </c>
      <c r="J7" s="17">
        <v>35</v>
      </c>
      <c r="K7" s="17">
        <f t="shared" si="4"/>
        <v>6</v>
      </c>
      <c r="L7" s="35">
        <f t="shared" si="5"/>
        <v>2.3599369316666667E-2</v>
      </c>
      <c r="M7" s="35">
        <f t="shared" si="6"/>
        <v>3.6132871325000003E-4</v>
      </c>
      <c r="N7" s="28">
        <v>5</v>
      </c>
      <c r="O7" s="38">
        <f t="shared" si="7"/>
        <v>2.3599999999999999E-2</v>
      </c>
      <c r="P7" s="28">
        <f t="shared" si="8"/>
        <v>3.6000000000000002E-4</v>
      </c>
      <c r="Q7" s="28">
        <f t="shared" si="9"/>
        <v>1.2960000000000002E-7</v>
      </c>
      <c r="R7" s="1" t="s">
        <v>84</v>
      </c>
      <c r="U7" s="37">
        <f t="shared" ref="U7:V7" si="26">B7</f>
        <v>440.00000000000006</v>
      </c>
      <c r="V7" s="37">
        <f t="shared" si="26"/>
        <v>10</v>
      </c>
      <c r="W7" s="17">
        <f t="shared" ref="W7:X7" si="27">J7</f>
        <v>35</v>
      </c>
      <c r="X7" s="17">
        <f t="shared" si="27"/>
        <v>6</v>
      </c>
    </row>
    <row r="8" spans="1:24">
      <c r="A8" s="17">
        <v>1000</v>
      </c>
      <c r="B8" s="17">
        <f>8.8*100</f>
        <v>880.00000000000011</v>
      </c>
      <c r="C8" s="17">
        <f t="shared" si="24"/>
        <v>10</v>
      </c>
      <c r="D8" s="32">
        <f t="shared" ref="D8:E8" si="28">B8*10^-9</f>
        <v>8.8000000000000015E-7</v>
      </c>
      <c r="E8" s="32">
        <f t="shared" si="28"/>
        <v>1E-8</v>
      </c>
      <c r="F8" s="17">
        <v>39654</v>
      </c>
      <c r="G8" s="17">
        <f t="shared" si="2"/>
        <v>199</v>
      </c>
      <c r="H8" s="17">
        <v>35862</v>
      </c>
      <c r="I8" s="17">
        <f t="shared" si="3"/>
        <v>189</v>
      </c>
      <c r="J8" s="17">
        <v>47</v>
      </c>
      <c r="K8" s="17">
        <f t="shared" si="4"/>
        <v>7</v>
      </c>
      <c r="L8" s="35">
        <f t="shared" si="5"/>
        <v>2.3701195800000002E-2</v>
      </c>
      <c r="M8" s="35">
        <f t="shared" si="6"/>
        <v>3.6235837900000002E-4</v>
      </c>
      <c r="N8" s="28">
        <v>5</v>
      </c>
      <c r="O8" s="38">
        <f t="shared" si="7"/>
        <v>2.3699999999999999E-2</v>
      </c>
      <c r="P8" s="28">
        <f t="shared" si="8"/>
        <v>3.6000000000000002E-4</v>
      </c>
      <c r="Q8" s="28">
        <f t="shared" si="9"/>
        <v>1.2960000000000002E-7</v>
      </c>
      <c r="U8" s="37">
        <f t="shared" ref="U8:V8" si="29">B8</f>
        <v>880.00000000000011</v>
      </c>
      <c r="V8" s="37">
        <f t="shared" si="29"/>
        <v>10</v>
      </c>
      <c r="W8" s="17">
        <f t="shared" ref="W8:X8" si="30">J8</f>
        <v>47</v>
      </c>
      <c r="X8" s="17">
        <f t="shared" si="30"/>
        <v>7</v>
      </c>
    </row>
    <row r="9" spans="1:24">
      <c r="A9" s="17">
        <v>2500</v>
      </c>
      <c r="B9" s="17">
        <f>8.2*250</f>
        <v>2050</v>
      </c>
      <c r="C9" s="17">
        <f>0.1*250</f>
        <v>25</v>
      </c>
      <c r="D9" s="32">
        <f t="shared" ref="D9:E9" si="31">B9*10^-9</f>
        <v>2.0500000000000003E-6</v>
      </c>
      <c r="E9" s="32">
        <f t="shared" si="31"/>
        <v>2.5000000000000002E-8</v>
      </c>
      <c r="F9" s="17">
        <v>39805</v>
      </c>
      <c r="G9" s="17">
        <f t="shared" si="2"/>
        <v>200</v>
      </c>
      <c r="H9" s="17">
        <v>36131</v>
      </c>
      <c r="I9" s="17">
        <f t="shared" si="3"/>
        <v>190</v>
      </c>
      <c r="J9" s="17">
        <v>71</v>
      </c>
      <c r="K9" s="17">
        <f t="shared" si="4"/>
        <v>8</v>
      </c>
      <c r="L9" s="35">
        <f t="shared" si="5"/>
        <v>2.3969907583333335E-2</v>
      </c>
      <c r="M9" s="35">
        <f t="shared" si="6"/>
        <v>3.6633537125000006E-4</v>
      </c>
      <c r="N9" s="28">
        <v>5</v>
      </c>
      <c r="O9" s="28">
        <f t="shared" si="7"/>
        <v>2.3970000000000002E-2</v>
      </c>
      <c r="P9" s="28">
        <f t="shared" si="8"/>
        <v>3.6999999999999999E-4</v>
      </c>
      <c r="Q9" s="28">
        <f t="shared" si="9"/>
        <v>1.3689999999999999E-7</v>
      </c>
      <c r="U9" s="37">
        <f t="shared" ref="U9:V9" si="32">B9</f>
        <v>2050</v>
      </c>
      <c r="V9" s="37">
        <f t="shared" si="32"/>
        <v>25</v>
      </c>
      <c r="W9" s="17">
        <f t="shared" ref="W9:X9" si="33">J9</f>
        <v>71</v>
      </c>
      <c r="X9" s="17">
        <f t="shared" si="33"/>
        <v>8</v>
      </c>
    </row>
    <row r="10" spans="1:24">
      <c r="A10" s="17">
        <v>5000</v>
      </c>
      <c r="B10" s="17">
        <f>8.3*500</f>
        <v>4150</v>
      </c>
      <c r="C10" s="17">
        <f>0.1*500</f>
        <v>50</v>
      </c>
      <c r="D10" s="32">
        <f t="shared" ref="D10:E10" si="34">B10*10^-9</f>
        <v>4.1500000000000001E-6</v>
      </c>
      <c r="E10" s="32">
        <f t="shared" si="34"/>
        <v>5.0000000000000004E-8</v>
      </c>
      <c r="F10" s="17">
        <v>39251</v>
      </c>
      <c r="G10" s="17">
        <f t="shared" si="2"/>
        <v>198</v>
      </c>
      <c r="H10" s="17">
        <v>36589</v>
      </c>
      <c r="I10" s="17">
        <f t="shared" si="3"/>
        <v>191</v>
      </c>
      <c r="J10" s="17">
        <v>111</v>
      </c>
      <c r="K10" s="17">
        <f t="shared" si="4"/>
        <v>11</v>
      </c>
      <c r="L10" s="35">
        <f t="shared" si="5"/>
        <v>2.3935913983333335E-2</v>
      </c>
      <c r="M10" s="35">
        <f t="shared" si="6"/>
        <v>3.6537228658333338E-4</v>
      </c>
      <c r="N10" s="28">
        <v>5</v>
      </c>
      <c r="O10" s="28">
        <f t="shared" si="7"/>
        <v>2.3939999999999999E-2</v>
      </c>
      <c r="P10" s="28">
        <f t="shared" si="8"/>
        <v>3.6999999999999999E-4</v>
      </c>
      <c r="Q10" s="28">
        <f t="shared" si="9"/>
        <v>1.3689999999999999E-7</v>
      </c>
      <c r="U10" s="37">
        <f t="shared" ref="U10:V10" si="35">B10</f>
        <v>4150</v>
      </c>
      <c r="V10" s="37">
        <f t="shared" si="35"/>
        <v>50</v>
      </c>
      <c r="W10" s="17">
        <f t="shared" ref="W10:X10" si="36">J10</f>
        <v>111</v>
      </c>
      <c r="X10" s="17">
        <f t="shared" si="36"/>
        <v>11</v>
      </c>
    </row>
    <row r="11" spans="1:24">
      <c r="A11" s="1">
        <f>250*25</f>
        <v>6250</v>
      </c>
      <c r="B11" s="1">
        <f>5.4*1000</f>
        <v>5400</v>
      </c>
      <c r="C11" s="1">
        <f>0.1*1000</f>
        <v>100</v>
      </c>
      <c r="D11" s="32">
        <f t="shared" ref="D11:E11" si="37">B11*10^-9</f>
        <v>5.4E-6</v>
      </c>
      <c r="E11" s="32">
        <f t="shared" si="37"/>
        <v>1.0000000000000001E-7</v>
      </c>
      <c r="F11" s="1">
        <v>39877</v>
      </c>
      <c r="G11" s="17">
        <f t="shared" si="2"/>
        <v>200</v>
      </c>
      <c r="H11" s="1">
        <v>36192</v>
      </c>
      <c r="I11" s="17">
        <f t="shared" si="3"/>
        <v>190</v>
      </c>
      <c r="J11" s="1">
        <v>135</v>
      </c>
      <c r="K11" s="17">
        <f t="shared" si="4"/>
        <v>12</v>
      </c>
      <c r="L11" s="35">
        <f t="shared" si="5"/>
        <v>2.4053806399999999E-2</v>
      </c>
      <c r="M11" s="35">
        <f t="shared" si="6"/>
        <v>3.671861986666667E-4</v>
      </c>
      <c r="N11" s="28">
        <v>5</v>
      </c>
      <c r="O11" s="28">
        <f t="shared" si="7"/>
        <v>2.4049999999999998E-2</v>
      </c>
      <c r="P11" s="28">
        <f t="shared" si="8"/>
        <v>3.6999999999999999E-4</v>
      </c>
      <c r="Q11" s="28">
        <f t="shared" si="9"/>
        <v>1.3689999999999999E-7</v>
      </c>
      <c r="R11" s="1" t="s">
        <v>85</v>
      </c>
      <c r="U11" s="37">
        <f t="shared" ref="U11:V11" si="38">B11</f>
        <v>5400</v>
      </c>
      <c r="V11" s="37">
        <f t="shared" si="38"/>
        <v>100</v>
      </c>
      <c r="W11" s="17">
        <f t="shared" ref="W11:X11" si="39">J11</f>
        <v>135</v>
      </c>
      <c r="X11" s="17">
        <f t="shared" si="39"/>
        <v>12</v>
      </c>
    </row>
    <row r="12" spans="1:24">
      <c r="Q12" s="28">
        <f t="shared" si="9"/>
        <v>0</v>
      </c>
      <c r="R12" s="1" t="s">
        <v>86</v>
      </c>
      <c r="S12" s="15">
        <f>0.0221997</f>
        <v>2.2199699999999999E-2</v>
      </c>
      <c r="T12" s="28">
        <f>0.0017255</f>
        <v>1.7255E-3</v>
      </c>
      <c r="U12" s="1">
        <f t="shared" ref="U12:U13" si="40">ABS(T12/S12)*100</f>
        <v>7.7726275580300639</v>
      </c>
      <c r="V12" s="1" t="s">
        <v>87</v>
      </c>
    </row>
    <row r="13" spans="1:24">
      <c r="P13" s="1" t="s">
        <v>88</v>
      </c>
      <c r="Q13" s="28" t="e">
        <f>#REF!^2</f>
        <v>#REF!</v>
      </c>
      <c r="R13" s="1" t="s">
        <v>89</v>
      </c>
      <c r="S13" s="15">
        <f>21.0166</f>
        <v>21.0166</v>
      </c>
      <c r="T13" s="28">
        <f>2.1483</f>
        <v>2.1482999999999999</v>
      </c>
      <c r="U13" s="1">
        <f t="shared" si="40"/>
        <v>10.22191981576468</v>
      </c>
      <c r="V13" s="1" t="s">
        <v>87</v>
      </c>
    </row>
    <row r="14" spans="1:24">
      <c r="P14" s="1" t="s">
        <v>86</v>
      </c>
      <c r="Q14" s="28" t="e">
        <f>P14^2</f>
        <v>#VALUE!</v>
      </c>
      <c r="R14" s="1">
        <v>4</v>
      </c>
      <c r="S14" s="39">
        <f t="shared" ref="S14:S15" si="41">ROUND(S12,R14)</f>
        <v>2.2200000000000001E-2</v>
      </c>
      <c r="T14" s="39">
        <f t="shared" ref="T14:T15" si="42">ROUND(T12,R14)</f>
        <v>1.6999999999999999E-3</v>
      </c>
      <c r="U14" s="1">
        <f t="shared" ref="U14:U15" si="43">T14/S14*100</f>
        <v>7.6576576576576567</v>
      </c>
      <c r="V14" s="1" t="s">
        <v>87</v>
      </c>
      <c r="W14" s="1" t="s">
        <v>90</v>
      </c>
      <c r="X14" s="1">
        <f t="shared" ref="X14:X15" si="44">K13</f>
        <v>0</v>
      </c>
    </row>
    <row r="15" spans="1:24">
      <c r="P15" s="1" t="s">
        <v>89</v>
      </c>
      <c r="R15" s="1">
        <v>1</v>
      </c>
      <c r="S15" s="40">
        <f t="shared" si="41"/>
        <v>21</v>
      </c>
      <c r="T15" s="39">
        <f t="shared" si="42"/>
        <v>2.1</v>
      </c>
      <c r="U15" s="1">
        <f t="shared" si="43"/>
        <v>10</v>
      </c>
      <c r="V15" s="1" t="s">
        <v>87</v>
      </c>
      <c r="W15" s="1">
        <f>9.10591</f>
        <v>9.1059099999999997</v>
      </c>
      <c r="X15" s="1">
        <f t="shared" si="44"/>
        <v>0</v>
      </c>
    </row>
    <row r="17" spans="16:24">
      <c r="Q17" s="28">
        <f t="shared" ref="Q17:Q127" si="45">P17^2</f>
        <v>0</v>
      </c>
      <c r="R17" s="1" t="s">
        <v>91</v>
      </c>
      <c r="S17" s="1">
        <f>SUM(O2:O11)/10</f>
        <v>2.3864999999999997E-2</v>
      </c>
      <c r="T17" s="41">
        <f>SQRT(SUM(Q2:Q11))/10</f>
        <v>1.1543396380615196E-4</v>
      </c>
      <c r="U17" s="1">
        <f t="shared" ref="U17:U18" si="46">ABS(T17/S17)*100</f>
        <v>0.48369563715127578</v>
      </c>
      <c r="V17" s="1" t="s">
        <v>87</v>
      </c>
      <c r="W17" s="1">
        <f t="shared" ref="W17:W21" si="47">J15</f>
        <v>0</v>
      </c>
      <c r="X17" s="1">
        <f t="shared" ref="X17:X20" si="48">K17</f>
        <v>0</v>
      </c>
    </row>
    <row r="18" spans="16:24">
      <c r="P18" s="1" t="s">
        <v>51</v>
      </c>
      <c r="Q18" s="28" t="e">
        <f t="shared" si="45"/>
        <v>#VALUE!</v>
      </c>
      <c r="R18" s="1">
        <v>5</v>
      </c>
      <c r="S18" s="28">
        <f>ROUND(S17,R18)</f>
        <v>2.3869999999999999E-2</v>
      </c>
      <c r="T18" s="38">
        <f>ROUND(T17,R18)</f>
        <v>1.2E-4</v>
      </c>
      <c r="U18" s="28">
        <f t="shared" si="46"/>
        <v>0.50272308336824467</v>
      </c>
      <c r="V18" s="1" t="s">
        <v>87</v>
      </c>
      <c r="W18" s="1">
        <f t="shared" si="47"/>
        <v>0</v>
      </c>
      <c r="X18" s="1">
        <f t="shared" si="48"/>
        <v>0</v>
      </c>
    </row>
    <row r="19" spans="16:24">
      <c r="Q19" s="28">
        <f t="shared" si="45"/>
        <v>0</v>
      </c>
      <c r="W19" s="1">
        <f t="shared" si="47"/>
        <v>0</v>
      </c>
      <c r="X19" s="1">
        <f t="shared" si="48"/>
        <v>0</v>
      </c>
    </row>
    <row r="20" spans="16:24">
      <c r="Q20" s="28">
        <f t="shared" si="45"/>
        <v>0</v>
      </c>
      <c r="W20" s="1">
        <f t="shared" si="47"/>
        <v>0</v>
      </c>
      <c r="X20" s="1">
        <f t="shared" si="48"/>
        <v>0</v>
      </c>
    </row>
    <row r="21" spans="16:24">
      <c r="Q21" s="28">
        <f t="shared" si="45"/>
        <v>0</v>
      </c>
      <c r="R21" s="1" t="s">
        <v>92</v>
      </c>
      <c r="S21" s="1">
        <f>ABS((S14-S18)/S18)*100</f>
        <v>6.9962295768747298</v>
      </c>
      <c r="T21" s="1" t="s">
        <v>87</v>
      </c>
      <c r="W21" s="1">
        <f t="shared" si="47"/>
        <v>0</v>
      </c>
    </row>
    <row r="22" spans="16:24">
      <c r="Q22" s="28">
        <f t="shared" si="45"/>
        <v>0</v>
      </c>
    </row>
    <row r="23" spans="16:24">
      <c r="Q23" s="28">
        <f t="shared" si="45"/>
        <v>0</v>
      </c>
    </row>
    <row r="24" spans="16:24">
      <c r="Q24" s="28">
        <f t="shared" si="45"/>
        <v>0</v>
      </c>
    </row>
    <row r="25" spans="16:24">
      <c r="Q25" s="28">
        <f t="shared" si="45"/>
        <v>0</v>
      </c>
    </row>
    <row r="26" spans="16:24">
      <c r="Q26" s="28">
        <f t="shared" si="45"/>
        <v>0</v>
      </c>
    </row>
    <row r="27" spans="16:24">
      <c r="Q27" s="28">
        <f t="shared" si="45"/>
        <v>0</v>
      </c>
    </row>
    <row r="28" spans="16:24">
      <c r="Q28" s="28">
        <f t="shared" si="45"/>
        <v>0</v>
      </c>
    </row>
    <row r="29" spans="16:24">
      <c r="Q29" s="28">
        <f t="shared" si="45"/>
        <v>0</v>
      </c>
    </row>
    <row r="30" spans="16:24">
      <c r="Q30" s="28">
        <f t="shared" si="45"/>
        <v>0</v>
      </c>
    </row>
    <row r="31" spans="16:24">
      <c r="Q31" s="28">
        <f t="shared" si="45"/>
        <v>0</v>
      </c>
    </row>
    <row r="32" spans="16:24">
      <c r="Q32" s="28">
        <f t="shared" si="45"/>
        <v>0</v>
      </c>
    </row>
    <row r="33" spans="17:17">
      <c r="Q33" s="28">
        <f t="shared" si="45"/>
        <v>0</v>
      </c>
    </row>
    <row r="34" spans="17:17">
      <c r="Q34" s="28">
        <f t="shared" si="45"/>
        <v>0</v>
      </c>
    </row>
    <row r="35" spans="17:17">
      <c r="Q35" s="28">
        <f t="shared" si="45"/>
        <v>0</v>
      </c>
    </row>
    <row r="36" spans="17:17">
      <c r="Q36" s="28">
        <f t="shared" si="45"/>
        <v>0</v>
      </c>
    </row>
    <row r="37" spans="17:17">
      <c r="Q37" s="28">
        <f t="shared" si="45"/>
        <v>0</v>
      </c>
    </row>
    <row r="38" spans="17:17">
      <c r="Q38" s="28">
        <f t="shared" si="45"/>
        <v>0</v>
      </c>
    </row>
    <row r="39" spans="17:17">
      <c r="Q39" s="28">
        <f t="shared" si="45"/>
        <v>0</v>
      </c>
    </row>
    <row r="40" spans="17:17">
      <c r="Q40" s="28">
        <f t="shared" si="45"/>
        <v>0</v>
      </c>
    </row>
    <row r="41" spans="17:17">
      <c r="Q41" s="28">
        <f t="shared" si="45"/>
        <v>0</v>
      </c>
    </row>
    <row r="42" spans="17:17">
      <c r="Q42" s="28">
        <f t="shared" si="45"/>
        <v>0</v>
      </c>
    </row>
    <row r="43" spans="17:17">
      <c r="Q43" s="28">
        <f t="shared" si="45"/>
        <v>0</v>
      </c>
    </row>
    <row r="44" spans="17:17">
      <c r="Q44" s="28">
        <f t="shared" si="45"/>
        <v>0</v>
      </c>
    </row>
    <row r="45" spans="17:17">
      <c r="Q45" s="28">
        <f t="shared" si="45"/>
        <v>0</v>
      </c>
    </row>
    <row r="46" spans="17:17">
      <c r="Q46" s="28">
        <f t="shared" si="45"/>
        <v>0</v>
      </c>
    </row>
    <row r="47" spans="17:17">
      <c r="Q47" s="28">
        <f t="shared" si="45"/>
        <v>0</v>
      </c>
    </row>
    <row r="48" spans="17:17">
      <c r="Q48" s="28">
        <f t="shared" si="45"/>
        <v>0</v>
      </c>
    </row>
    <row r="49" spans="17:17">
      <c r="Q49" s="28">
        <f t="shared" si="45"/>
        <v>0</v>
      </c>
    </row>
    <row r="50" spans="17:17">
      <c r="Q50" s="28">
        <f t="shared" si="45"/>
        <v>0</v>
      </c>
    </row>
    <row r="51" spans="17:17">
      <c r="Q51" s="28">
        <f t="shared" si="45"/>
        <v>0</v>
      </c>
    </row>
    <row r="52" spans="17:17">
      <c r="Q52" s="28">
        <f t="shared" si="45"/>
        <v>0</v>
      </c>
    </row>
    <row r="53" spans="17:17">
      <c r="Q53" s="28">
        <f t="shared" si="45"/>
        <v>0</v>
      </c>
    </row>
    <row r="54" spans="17:17">
      <c r="Q54" s="28">
        <f t="shared" si="45"/>
        <v>0</v>
      </c>
    </row>
    <row r="55" spans="17:17">
      <c r="Q55" s="28">
        <f t="shared" si="45"/>
        <v>0</v>
      </c>
    </row>
    <row r="56" spans="17:17">
      <c r="Q56" s="28">
        <f t="shared" si="45"/>
        <v>0</v>
      </c>
    </row>
    <row r="57" spans="17:17">
      <c r="Q57" s="28">
        <f t="shared" si="45"/>
        <v>0</v>
      </c>
    </row>
    <row r="58" spans="17:17">
      <c r="Q58" s="28">
        <f t="shared" si="45"/>
        <v>0</v>
      </c>
    </row>
    <row r="59" spans="17:17">
      <c r="Q59" s="28">
        <f t="shared" si="45"/>
        <v>0</v>
      </c>
    </row>
    <row r="60" spans="17:17">
      <c r="Q60" s="28">
        <f t="shared" si="45"/>
        <v>0</v>
      </c>
    </row>
    <row r="61" spans="17:17">
      <c r="Q61" s="28">
        <f t="shared" si="45"/>
        <v>0</v>
      </c>
    </row>
    <row r="62" spans="17:17">
      <c r="Q62" s="28">
        <f t="shared" si="45"/>
        <v>0</v>
      </c>
    </row>
    <row r="63" spans="17:17">
      <c r="Q63" s="28">
        <f t="shared" si="45"/>
        <v>0</v>
      </c>
    </row>
    <row r="64" spans="17:17">
      <c r="Q64" s="28">
        <f t="shared" si="45"/>
        <v>0</v>
      </c>
    </row>
    <row r="65" spans="17:17">
      <c r="Q65" s="28">
        <f t="shared" si="45"/>
        <v>0</v>
      </c>
    </row>
    <row r="66" spans="17:17">
      <c r="Q66" s="28">
        <f t="shared" si="45"/>
        <v>0</v>
      </c>
    </row>
    <row r="67" spans="17:17">
      <c r="Q67" s="28">
        <f t="shared" si="45"/>
        <v>0</v>
      </c>
    </row>
    <row r="68" spans="17:17">
      <c r="Q68" s="28">
        <f t="shared" si="45"/>
        <v>0</v>
      </c>
    </row>
    <row r="69" spans="17:17">
      <c r="Q69" s="28">
        <f t="shared" si="45"/>
        <v>0</v>
      </c>
    </row>
    <row r="70" spans="17:17">
      <c r="Q70" s="28">
        <f t="shared" si="45"/>
        <v>0</v>
      </c>
    </row>
    <row r="71" spans="17:17">
      <c r="Q71" s="28">
        <f t="shared" si="45"/>
        <v>0</v>
      </c>
    </row>
    <row r="72" spans="17:17">
      <c r="Q72" s="28">
        <f t="shared" si="45"/>
        <v>0</v>
      </c>
    </row>
    <row r="73" spans="17:17">
      <c r="Q73" s="28">
        <f t="shared" si="45"/>
        <v>0</v>
      </c>
    </row>
    <row r="74" spans="17:17">
      <c r="Q74" s="28">
        <f t="shared" si="45"/>
        <v>0</v>
      </c>
    </row>
    <row r="75" spans="17:17">
      <c r="Q75" s="28">
        <f t="shared" si="45"/>
        <v>0</v>
      </c>
    </row>
    <row r="76" spans="17:17">
      <c r="Q76" s="28">
        <f t="shared" si="45"/>
        <v>0</v>
      </c>
    </row>
    <row r="77" spans="17:17">
      <c r="Q77" s="28">
        <f t="shared" si="45"/>
        <v>0</v>
      </c>
    </row>
    <row r="78" spans="17:17">
      <c r="Q78" s="28">
        <f t="shared" si="45"/>
        <v>0</v>
      </c>
    </row>
    <row r="79" spans="17:17">
      <c r="Q79" s="28">
        <f t="shared" si="45"/>
        <v>0</v>
      </c>
    </row>
    <row r="80" spans="17:17">
      <c r="Q80" s="28">
        <f t="shared" si="45"/>
        <v>0</v>
      </c>
    </row>
    <row r="81" spans="17:17">
      <c r="Q81" s="28">
        <f t="shared" si="45"/>
        <v>0</v>
      </c>
    </row>
    <row r="82" spans="17:17">
      <c r="Q82" s="28">
        <f t="shared" si="45"/>
        <v>0</v>
      </c>
    </row>
    <row r="83" spans="17:17">
      <c r="Q83" s="28">
        <f t="shared" si="45"/>
        <v>0</v>
      </c>
    </row>
    <row r="84" spans="17:17">
      <c r="Q84" s="28">
        <f t="shared" si="45"/>
        <v>0</v>
      </c>
    </row>
    <row r="85" spans="17:17">
      <c r="Q85" s="28">
        <f t="shared" si="45"/>
        <v>0</v>
      </c>
    </row>
    <row r="86" spans="17:17">
      <c r="Q86" s="28">
        <f t="shared" si="45"/>
        <v>0</v>
      </c>
    </row>
    <row r="87" spans="17:17">
      <c r="Q87" s="28">
        <f t="shared" si="45"/>
        <v>0</v>
      </c>
    </row>
    <row r="88" spans="17:17">
      <c r="Q88" s="28">
        <f t="shared" si="45"/>
        <v>0</v>
      </c>
    </row>
    <row r="89" spans="17:17">
      <c r="Q89" s="28">
        <f t="shared" si="45"/>
        <v>0</v>
      </c>
    </row>
    <row r="90" spans="17:17">
      <c r="Q90" s="28">
        <f t="shared" si="45"/>
        <v>0</v>
      </c>
    </row>
    <row r="91" spans="17:17">
      <c r="Q91" s="28">
        <f t="shared" si="45"/>
        <v>0</v>
      </c>
    </row>
    <row r="92" spans="17:17">
      <c r="Q92" s="28">
        <f t="shared" si="45"/>
        <v>0</v>
      </c>
    </row>
    <row r="93" spans="17:17">
      <c r="Q93" s="28">
        <f t="shared" si="45"/>
        <v>0</v>
      </c>
    </row>
    <row r="94" spans="17:17">
      <c r="Q94" s="28">
        <f t="shared" si="45"/>
        <v>0</v>
      </c>
    </row>
    <row r="95" spans="17:17">
      <c r="Q95" s="28">
        <f t="shared" si="45"/>
        <v>0</v>
      </c>
    </row>
    <row r="96" spans="17:17">
      <c r="Q96" s="28">
        <f t="shared" si="45"/>
        <v>0</v>
      </c>
    </row>
    <row r="97" spans="17:17">
      <c r="Q97" s="28">
        <f t="shared" si="45"/>
        <v>0</v>
      </c>
    </row>
    <row r="98" spans="17:17">
      <c r="Q98" s="28">
        <f t="shared" si="45"/>
        <v>0</v>
      </c>
    </row>
    <row r="99" spans="17:17">
      <c r="Q99" s="28">
        <f t="shared" si="45"/>
        <v>0</v>
      </c>
    </row>
    <row r="100" spans="17:17">
      <c r="Q100" s="28">
        <f t="shared" si="45"/>
        <v>0</v>
      </c>
    </row>
    <row r="101" spans="17:17">
      <c r="Q101" s="28">
        <f t="shared" si="45"/>
        <v>0</v>
      </c>
    </row>
    <row r="102" spans="17:17">
      <c r="Q102" s="28">
        <f t="shared" si="45"/>
        <v>0</v>
      </c>
    </row>
    <row r="103" spans="17:17">
      <c r="Q103" s="28">
        <f t="shared" si="45"/>
        <v>0</v>
      </c>
    </row>
    <row r="104" spans="17:17">
      <c r="Q104" s="28">
        <f t="shared" si="45"/>
        <v>0</v>
      </c>
    </row>
    <row r="105" spans="17:17">
      <c r="Q105" s="28">
        <f t="shared" si="45"/>
        <v>0</v>
      </c>
    </row>
    <row r="106" spans="17:17">
      <c r="Q106" s="28">
        <f t="shared" si="45"/>
        <v>0</v>
      </c>
    </row>
    <row r="107" spans="17:17">
      <c r="Q107" s="28">
        <f t="shared" si="45"/>
        <v>0</v>
      </c>
    </row>
    <row r="108" spans="17:17">
      <c r="Q108" s="28">
        <f t="shared" si="45"/>
        <v>0</v>
      </c>
    </row>
    <row r="109" spans="17:17">
      <c r="Q109" s="28">
        <f t="shared" si="45"/>
        <v>0</v>
      </c>
    </row>
    <row r="110" spans="17:17">
      <c r="Q110" s="28">
        <f t="shared" si="45"/>
        <v>0</v>
      </c>
    </row>
    <row r="111" spans="17:17">
      <c r="Q111" s="28">
        <f t="shared" si="45"/>
        <v>0</v>
      </c>
    </row>
    <row r="112" spans="17:17">
      <c r="Q112" s="28">
        <f t="shared" si="45"/>
        <v>0</v>
      </c>
    </row>
    <row r="113" spans="17:17">
      <c r="Q113" s="28">
        <f t="shared" si="45"/>
        <v>0</v>
      </c>
    </row>
    <row r="114" spans="17:17">
      <c r="Q114" s="28">
        <f t="shared" si="45"/>
        <v>0</v>
      </c>
    </row>
    <row r="115" spans="17:17">
      <c r="Q115" s="28">
        <f t="shared" si="45"/>
        <v>0</v>
      </c>
    </row>
    <row r="116" spans="17:17">
      <c r="Q116" s="28">
        <f t="shared" si="45"/>
        <v>0</v>
      </c>
    </row>
    <row r="117" spans="17:17">
      <c r="Q117" s="28">
        <f t="shared" si="45"/>
        <v>0</v>
      </c>
    </row>
    <row r="118" spans="17:17">
      <c r="Q118" s="28">
        <f t="shared" si="45"/>
        <v>0</v>
      </c>
    </row>
    <row r="119" spans="17:17">
      <c r="Q119" s="28">
        <f t="shared" si="45"/>
        <v>0</v>
      </c>
    </row>
    <row r="120" spans="17:17">
      <c r="Q120" s="28">
        <f t="shared" si="45"/>
        <v>0</v>
      </c>
    </row>
    <row r="121" spans="17:17">
      <c r="Q121" s="28">
        <f t="shared" si="45"/>
        <v>0</v>
      </c>
    </row>
    <row r="122" spans="17:17">
      <c r="Q122" s="28">
        <f t="shared" si="45"/>
        <v>0</v>
      </c>
    </row>
    <row r="123" spans="17:17">
      <c r="Q123" s="28">
        <f t="shared" si="45"/>
        <v>0</v>
      </c>
    </row>
    <row r="124" spans="17:17">
      <c r="Q124" s="28">
        <f t="shared" si="45"/>
        <v>0</v>
      </c>
    </row>
    <row r="125" spans="17:17">
      <c r="Q125" s="28">
        <f t="shared" si="45"/>
        <v>0</v>
      </c>
    </row>
    <row r="126" spans="17:17">
      <c r="Q126" s="28">
        <f t="shared" si="45"/>
        <v>0</v>
      </c>
    </row>
    <row r="127" spans="17:17">
      <c r="Q127" s="28">
        <f t="shared" si="45"/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E6"/>
  <sheetViews>
    <sheetView workbookViewId="0"/>
  </sheetViews>
  <sheetFormatPr defaultColWidth="12.6640625" defaultRowHeight="15.75" customHeight="1"/>
  <sheetData>
    <row r="2" spans="2:5">
      <c r="B2" s="1" t="s">
        <v>93</v>
      </c>
      <c r="C2" s="1">
        <v>22.7</v>
      </c>
    </row>
    <row r="3" spans="2:5">
      <c r="B3" s="1" t="s">
        <v>94</v>
      </c>
      <c r="C3" s="1">
        <v>2.2400000000000002</v>
      </c>
      <c r="D3" s="1">
        <f>(C3*PI()/180)</f>
        <v>3.9095375244672985E-2</v>
      </c>
      <c r="E3" s="1">
        <f>TAN(D3)</f>
        <v>3.911530585071997E-2</v>
      </c>
    </row>
    <row r="5" spans="2:5">
      <c r="B5" s="1" t="s">
        <v>95</v>
      </c>
    </row>
    <row r="6" spans="2:5">
      <c r="B6" s="1">
        <v>-3.75</v>
      </c>
      <c r="D6" s="1">
        <f>(D3+ASIN(2*B6/C2+E3))</f>
        <v>-0.25647043281537268</v>
      </c>
      <c r="E6" s="1">
        <f>(D6*180/PI())</f>
        <v>-14.694673370214387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3"/>
  <sheetViews>
    <sheetView workbookViewId="0"/>
  </sheetViews>
  <sheetFormatPr defaultColWidth="12.6640625" defaultRowHeight="15.75" customHeight="1"/>
  <cols>
    <col min="1" max="1" width="15.88671875" customWidth="1"/>
    <col min="2" max="2" width="17.6640625" customWidth="1"/>
    <col min="3" max="3" width="13.88671875" customWidth="1"/>
    <col min="4" max="4" width="14.44140625" customWidth="1"/>
    <col min="5" max="5" width="15.21875" customWidth="1"/>
    <col min="6" max="6" width="15" customWidth="1"/>
    <col min="7" max="7" width="22.109375" customWidth="1"/>
    <col min="8" max="8" width="13.6640625" customWidth="1"/>
  </cols>
  <sheetData>
    <row r="1" spans="1:11">
      <c r="A1" s="1" t="s">
        <v>0</v>
      </c>
      <c r="B1" s="1">
        <f>2*SQRT(2*LN(2))</f>
        <v>2.3548200450309493</v>
      </c>
    </row>
    <row r="2" spans="1:11" ht="15.75" customHeight="1">
      <c r="A2" s="2" t="s">
        <v>1</v>
      </c>
    </row>
    <row r="3" spans="1:11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5" t="s">
        <v>8</v>
      </c>
      <c r="H3" s="5"/>
      <c r="I3" s="1" t="s">
        <v>96</v>
      </c>
      <c r="J3" s="1">
        <v>20</v>
      </c>
    </row>
    <row r="4" spans="1:11">
      <c r="A4" s="6">
        <v>120</v>
      </c>
      <c r="B4" s="7"/>
      <c r="C4" s="6">
        <v>258</v>
      </c>
      <c r="D4" s="7"/>
      <c r="E4" s="6">
        <v>338</v>
      </c>
      <c r="F4" s="7"/>
      <c r="G4" s="8">
        <f>A4/A6*(E6/$B$1/0.1)^2</f>
        <v>55.969805374082974</v>
      </c>
      <c r="H4" s="5"/>
      <c r="I4" s="1" t="s">
        <v>97</v>
      </c>
      <c r="J4" s="36">
        <v>5.9</v>
      </c>
      <c r="K4" s="1">
        <v>0.01</v>
      </c>
    </row>
    <row r="5" spans="1:11">
      <c r="A5" s="3" t="s">
        <v>9</v>
      </c>
      <c r="B5" s="4" t="s">
        <v>10</v>
      </c>
      <c r="C5" s="3" t="s">
        <v>11</v>
      </c>
      <c r="D5" s="4" t="s">
        <v>12</v>
      </c>
      <c r="E5" s="3" t="s">
        <v>13</v>
      </c>
      <c r="F5" s="4" t="s">
        <v>14</v>
      </c>
      <c r="G5" s="3" t="s">
        <v>15</v>
      </c>
      <c r="H5" s="4" t="s">
        <v>16</v>
      </c>
    </row>
    <row r="6" spans="1:11">
      <c r="A6" s="6">
        <v>37517</v>
      </c>
      <c r="B6" s="9">
        <f>SQRT(A6)</f>
        <v>193.69305614812319</v>
      </c>
      <c r="C6" s="6">
        <v>30335</v>
      </c>
      <c r="D6" s="7">
        <v>367</v>
      </c>
      <c r="E6" s="6">
        <v>31.15</v>
      </c>
      <c r="F6" s="7">
        <v>0</v>
      </c>
      <c r="G6" s="6">
        <v>299.11</v>
      </c>
      <c r="H6" s="7">
        <f>A8/SQRT(A6)</f>
        <v>6.8294585787163603E-2</v>
      </c>
    </row>
    <row r="7" spans="1:11">
      <c r="A7" s="3" t="s">
        <v>17</v>
      </c>
      <c r="B7" s="10" t="s">
        <v>18</v>
      </c>
      <c r="C7" s="5"/>
      <c r="D7" s="5"/>
      <c r="E7" s="5"/>
      <c r="F7" s="5"/>
      <c r="G7" s="5"/>
      <c r="H7" s="5"/>
    </row>
    <row r="8" spans="1:11">
      <c r="A8" s="6">
        <f t="shared" ref="A8:B8" si="0">E6/$B$1</f>
        <v>13.228187039485896</v>
      </c>
      <c r="B8" s="7">
        <f t="shared" si="0"/>
        <v>0</v>
      </c>
      <c r="C8" s="5"/>
      <c r="D8" s="5"/>
      <c r="E8" s="5"/>
      <c r="F8" s="5"/>
      <c r="G8" s="5"/>
      <c r="H8" s="5"/>
    </row>
    <row r="9" spans="1:11">
      <c r="B9" s="11" t="s">
        <v>19</v>
      </c>
      <c r="C9" s="12" t="s">
        <v>20</v>
      </c>
      <c r="D9" s="11" t="s">
        <v>21</v>
      </c>
      <c r="E9" s="12" t="s">
        <v>22</v>
      </c>
    </row>
    <row r="10" spans="1:11">
      <c r="A10" s="1" t="s">
        <v>23</v>
      </c>
      <c r="B10" s="13">
        <f>G6-3*A8</f>
        <v>259.42543888154233</v>
      </c>
      <c r="C10" s="13">
        <f>H6+3*B8</f>
        <v>6.8294585787163603E-2</v>
      </c>
      <c r="D10" s="13">
        <f t="shared" ref="D10:E10" si="1">G6+3*A8</f>
        <v>338.79456111845769</v>
      </c>
      <c r="E10" s="13">
        <f t="shared" si="1"/>
        <v>6.8294585787163603E-2</v>
      </c>
    </row>
    <row r="11" spans="1:11">
      <c r="A11" s="1" t="s">
        <v>24</v>
      </c>
      <c r="B11" s="13">
        <v>2.2599999999999998</v>
      </c>
      <c r="C11" s="13">
        <v>0.01</v>
      </c>
      <c r="D11" s="23">
        <v>2.96</v>
      </c>
      <c r="E11" s="13">
        <v>0.01</v>
      </c>
      <c r="F11" s="1" t="s">
        <v>71</v>
      </c>
    </row>
    <row r="12" spans="1:11">
      <c r="A12" s="1" t="s">
        <v>25</v>
      </c>
      <c r="B12" s="13">
        <v>2.27</v>
      </c>
      <c r="C12" s="13">
        <v>0.01</v>
      </c>
      <c r="D12" s="13">
        <v>2.09</v>
      </c>
      <c r="E12" s="13">
        <v>0.01</v>
      </c>
    </row>
    <row r="13" spans="1:11" ht="15.75" customHeight="1">
      <c r="A13" s="2" t="s">
        <v>26</v>
      </c>
    </row>
    <row r="14" spans="1:11">
      <c r="A14" s="3" t="s">
        <v>2</v>
      </c>
      <c r="B14" s="4" t="s">
        <v>3</v>
      </c>
      <c r="C14" s="3" t="s">
        <v>4</v>
      </c>
      <c r="D14" s="4" t="s">
        <v>5</v>
      </c>
      <c r="E14" s="3" t="s">
        <v>6</v>
      </c>
      <c r="F14" s="4" t="s">
        <v>7</v>
      </c>
      <c r="G14" s="5" t="s">
        <v>8</v>
      </c>
      <c r="I14" s="1" t="s">
        <v>96</v>
      </c>
      <c r="J14" s="1">
        <v>10</v>
      </c>
    </row>
    <row r="15" spans="1:11">
      <c r="A15" s="6">
        <v>120</v>
      </c>
      <c r="B15" s="7"/>
      <c r="C15" s="6">
        <v>255</v>
      </c>
      <c r="D15" s="7"/>
      <c r="E15" s="7">
        <v>346</v>
      </c>
      <c r="G15" s="8">
        <f>A15/A17*(E17/$B$1/0.1)^2</f>
        <v>59.786526410815917</v>
      </c>
      <c r="I15" s="1" t="s">
        <v>97</v>
      </c>
      <c r="J15" s="36">
        <v>5</v>
      </c>
      <c r="K15" s="1">
        <v>0.01</v>
      </c>
    </row>
    <row r="16" spans="1:11" ht="13.2">
      <c r="A16" s="3" t="s">
        <v>9</v>
      </c>
      <c r="B16" s="4" t="s">
        <v>10</v>
      </c>
      <c r="C16" s="3" t="s">
        <v>11</v>
      </c>
      <c r="D16" s="4" t="s">
        <v>12</v>
      </c>
      <c r="E16" s="3" t="s">
        <v>13</v>
      </c>
      <c r="F16" s="4" t="s">
        <v>14</v>
      </c>
      <c r="G16" s="3" t="s">
        <v>15</v>
      </c>
      <c r="H16" s="4" t="s">
        <v>16</v>
      </c>
    </row>
    <row r="17" spans="1:8" ht="13.2">
      <c r="A17" s="6">
        <v>41892</v>
      </c>
      <c r="B17" s="7">
        <v>205</v>
      </c>
      <c r="C17" s="6">
        <v>33980</v>
      </c>
      <c r="D17" s="7">
        <v>404</v>
      </c>
      <c r="E17" s="6">
        <v>34.020000000000003</v>
      </c>
      <c r="F17" s="7"/>
      <c r="G17" s="6">
        <v>302.54000000000002</v>
      </c>
      <c r="H17" s="7">
        <f>A19/SQRT(A17)</f>
        <v>7.0584775513099565E-2</v>
      </c>
    </row>
    <row r="18" spans="1:8" ht="13.8">
      <c r="A18" s="3" t="s">
        <v>17</v>
      </c>
      <c r="B18" s="10" t="s">
        <v>18</v>
      </c>
      <c r="C18" s="5"/>
      <c r="D18" s="5"/>
      <c r="E18" s="5"/>
      <c r="F18" s="5"/>
      <c r="G18" s="5"/>
      <c r="H18" s="5"/>
    </row>
    <row r="19" spans="1:8" ht="13.2">
      <c r="A19" s="6">
        <f t="shared" ref="A19:B19" si="2">E17/$B$1</f>
        <v>14.446963822899205</v>
      </c>
      <c r="B19" s="7">
        <f t="shared" si="2"/>
        <v>0</v>
      </c>
      <c r="G19" s="1" t="s">
        <v>98</v>
      </c>
    </row>
    <row r="20" spans="1:8" ht="13.8">
      <c r="B20" s="11" t="s">
        <v>19</v>
      </c>
      <c r="C20" s="12" t="s">
        <v>20</v>
      </c>
      <c r="D20" s="11" t="s">
        <v>21</v>
      </c>
      <c r="E20" s="12" t="s">
        <v>22</v>
      </c>
    </row>
    <row r="21" spans="1:8" ht="13.2">
      <c r="A21" s="1" t="s">
        <v>23</v>
      </c>
      <c r="B21" s="13">
        <f>G17-3*A19</f>
        <v>259.19910853130239</v>
      </c>
      <c r="C21" s="13">
        <f>H17+3*B19</f>
        <v>7.0584775513099565E-2</v>
      </c>
      <c r="D21" s="13">
        <f t="shared" ref="D21:E21" si="3">G17+3*A19</f>
        <v>345.88089146869766</v>
      </c>
      <c r="E21" s="13">
        <f t="shared" si="3"/>
        <v>7.0584775513099565E-2</v>
      </c>
      <c r="F21" s="5"/>
      <c r="G21" s="5"/>
      <c r="H21" s="5"/>
    </row>
    <row r="22" spans="1:8" ht="13.2">
      <c r="A22" s="1" t="s">
        <v>24</v>
      </c>
      <c r="B22" s="13">
        <v>5.51</v>
      </c>
      <c r="C22" s="13">
        <v>0.01</v>
      </c>
      <c r="D22" s="13">
        <v>7.32</v>
      </c>
      <c r="E22" s="13">
        <v>0.01</v>
      </c>
      <c r="F22" s="5" t="s">
        <v>71</v>
      </c>
      <c r="G22" s="5"/>
      <c r="H22" s="5"/>
    </row>
    <row r="23" spans="1:8" ht="13.2">
      <c r="A23" s="1" t="s">
        <v>25</v>
      </c>
      <c r="B23" s="13">
        <v>2.29</v>
      </c>
      <c r="C23" s="13">
        <v>0.01</v>
      </c>
      <c r="D23" s="13">
        <v>2.98</v>
      </c>
      <c r="E23" s="13">
        <v>0.01</v>
      </c>
      <c r="F23" s="5"/>
      <c r="G23" s="5"/>
      <c r="H23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3"/>
  <sheetViews>
    <sheetView workbookViewId="0"/>
  </sheetViews>
  <sheetFormatPr defaultColWidth="12.6640625" defaultRowHeight="15.75" customHeight="1"/>
  <cols>
    <col min="1" max="1" width="15.88671875" customWidth="1"/>
    <col min="2" max="2" width="17.6640625" customWidth="1"/>
    <col min="3" max="3" width="13.88671875" customWidth="1"/>
    <col min="4" max="4" width="14.44140625" customWidth="1"/>
    <col min="5" max="5" width="15.21875" customWidth="1"/>
    <col min="6" max="6" width="15" customWidth="1"/>
    <col min="7" max="7" width="22.109375" customWidth="1"/>
    <col min="8" max="8" width="13.6640625" customWidth="1"/>
  </cols>
  <sheetData>
    <row r="1" spans="1:8">
      <c r="A1" s="1" t="s">
        <v>0</v>
      </c>
      <c r="B1" s="1">
        <f>2*SQRT(2*LN(2))</f>
        <v>2.3548200450309493</v>
      </c>
    </row>
    <row r="2" spans="1:8" ht="15.75" customHeight="1">
      <c r="A2" s="2" t="s">
        <v>1</v>
      </c>
    </row>
    <row r="3" spans="1:8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5" t="s">
        <v>8</v>
      </c>
      <c r="H3" s="5"/>
    </row>
    <row r="4" spans="1:8">
      <c r="A4" s="6"/>
      <c r="B4" s="7"/>
      <c r="C4" s="6"/>
      <c r="D4" s="7"/>
      <c r="E4" s="6"/>
      <c r="F4" s="7"/>
      <c r="G4" s="8" t="e">
        <f>A4/A6*(E6/$B$1/0.1)^2</f>
        <v>#DIV/0!</v>
      </c>
      <c r="H4" s="5"/>
    </row>
    <row r="5" spans="1:8">
      <c r="A5" s="3" t="s">
        <v>9</v>
      </c>
      <c r="B5" s="4" t="s">
        <v>10</v>
      </c>
      <c r="C5" s="3" t="s">
        <v>11</v>
      </c>
      <c r="D5" s="4" t="s">
        <v>12</v>
      </c>
      <c r="E5" s="3" t="s">
        <v>13</v>
      </c>
      <c r="F5" s="4" t="s">
        <v>14</v>
      </c>
      <c r="G5" s="3" t="s">
        <v>15</v>
      </c>
      <c r="H5" s="4" t="s">
        <v>16</v>
      </c>
    </row>
    <row r="6" spans="1:8">
      <c r="A6" s="6"/>
      <c r="B6" s="9"/>
      <c r="C6" s="6"/>
      <c r="D6" s="7"/>
      <c r="E6" s="6"/>
      <c r="F6" s="7"/>
      <c r="G6" s="6"/>
      <c r="H6" s="7" t="e">
        <f>A8/SQRT(A6)</f>
        <v>#DIV/0!</v>
      </c>
    </row>
    <row r="7" spans="1:8">
      <c r="A7" s="3" t="s">
        <v>17</v>
      </c>
      <c r="B7" s="10" t="s">
        <v>18</v>
      </c>
      <c r="C7" s="5"/>
      <c r="D7" s="5"/>
      <c r="E7" s="5"/>
      <c r="F7" s="5"/>
      <c r="G7" s="5"/>
      <c r="H7" s="5"/>
    </row>
    <row r="8" spans="1:8">
      <c r="A8" s="6">
        <f t="shared" ref="A8:B8" si="0">E6/$B$1</f>
        <v>0</v>
      </c>
      <c r="B8" s="7">
        <f t="shared" si="0"/>
        <v>0</v>
      </c>
      <c r="C8" s="5"/>
      <c r="D8" s="5"/>
      <c r="E8" s="5"/>
      <c r="F8" s="5"/>
      <c r="G8" s="5"/>
      <c r="H8" s="5"/>
    </row>
    <row r="9" spans="1:8">
      <c r="B9" s="11" t="s">
        <v>19</v>
      </c>
      <c r="C9" s="12" t="s">
        <v>20</v>
      </c>
      <c r="D9" s="11" t="s">
        <v>21</v>
      </c>
      <c r="E9" s="12" t="s">
        <v>22</v>
      </c>
    </row>
    <row r="10" spans="1:8">
      <c r="A10" s="1" t="s">
        <v>23</v>
      </c>
      <c r="B10" s="13"/>
      <c r="C10" s="13" t="e">
        <f>H6+3*B8</f>
        <v>#DIV/0!</v>
      </c>
      <c r="D10" s="13"/>
      <c r="E10" s="13" t="e">
        <f>H6+3*B8</f>
        <v>#DIV/0!</v>
      </c>
    </row>
    <row r="11" spans="1:8">
      <c r="A11" s="1" t="s">
        <v>24</v>
      </c>
      <c r="B11" s="13"/>
      <c r="C11" s="13"/>
      <c r="D11" s="13"/>
      <c r="E11" s="13"/>
    </row>
    <row r="12" spans="1:8">
      <c r="A12" s="1" t="s">
        <v>25</v>
      </c>
      <c r="B12" s="13">
        <v>3.88</v>
      </c>
      <c r="C12" s="13"/>
      <c r="D12" s="13">
        <v>4.92</v>
      </c>
      <c r="E12" s="13"/>
    </row>
    <row r="13" spans="1:8" ht="15.75" customHeight="1">
      <c r="A13" s="2" t="s">
        <v>26</v>
      </c>
    </row>
    <row r="14" spans="1:8">
      <c r="A14" s="3" t="s">
        <v>2</v>
      </c>
      <c r="B14" s="4" t="s">
        <v>3</v>
      </c>
      <c r="C14" s="3" t="s">
        <v>4</v>
      </c>
      <c r="D14" s="4" t="s">
        <v>5</v>
      </c>
      <c r="E14" s="3" t="s">
        <v>6</v>
      </c>
      <c r="F14" s="4" t="s">
        <v>7</v>
      </c>
      <c r="G14" s="5" t="s">
        <v>8</v>
      </c>
    </row>
    <row r="15" spans="1:8">
      <c r="A15" s="6"/>
      <c r="B15" s="7"/>
      <c r="C15" s="6"/>
      <c r="D15" s="7"/>
      <c r="E15" s="6"/>
      <c r="F15" s="7"/>
      <c r="G15" s="8" t="e">
        <f>A15/A17*(E17/$B$1/0.1)^2</f>
        <v>#DIV/0!</v>
      </c>
    </row>
    <row r="16" spans="1:8" ht="13.2">
      <c r="A16" s="3" t="s">
        <v>9</v>
      </c>
      <c r="B16" s="4" t="s">
        <v>10</v>
      </c>
      <c r="C16" s="3" t="s">
        <v>11</v>
      </c>
      <c r="D16" s="4" t="s">
        <v>12</v>
      </c>
      <c r="E16" s="3" t="s">
        <v>13</v>
      </c>
      <c r="F16" s="4" t="s">
        <v>14</v>
      </c>
      <c r="G16" s="3" t="s">
        <v>15</v>
      </c>
      <c r="H16" s="4" t="s">
        <v>16</v>
      </c>
    </row>
    <row r="17" spans="1:8" ht="13.2">
      <c r="A17" s="6"/>
      <c r="B17" s="7"/>
      <c r="C17" s="6"/>
      <c r="D17" s="7"/>
      <c r="E17" s="6"/>
      <c r="F17" s="7"/>
      <c r="G17" s="6"/>
      <c r="H17" s="7" t="e">
        <f>A19/SQRT(A17)</f>
        <v>#DIV/0!</v>
      </c>
    </row>
    <row r="18" spans="1:8" ht="13.8">
      <c r="A18" s="3" t="s">
        <v>17</v>
      </c>
      <c r="B18" s="10" t="s">
        <v>18</v>
      </c>
      <c r="C18" s="5"/>
      <c r="D18" s="5"/>
      <c r="E18" s="5"/>
      <c r="F18" s="5"/>
      <c r="G18" s="5"/>
      <c r="H18" s="5"/>
    </row>
    <row r="19" spans="1:8" ht="13.2">
      <c r="A19" s="6">
        <f t="shared" ref="A19:B19" si="1">E17/$B$1</f>
        <v>0</v>
      </c>
      <c r="B19" s="7">
        <f t="shared" si="1"/>
        <v>0</v>
      </c>
    </row>
    <row r="20" spans="1:8" ht="13.8">
      <c r="B20" s="11" t="s">
        <v>19</v>
      </c>
      <c r="C20" s="12" t="s">
        <v>20</v>
      </c>
      <c r="D20" s="11" t="s">
        <v>21</v>
      </c>
      <c r="E20" s="12" t="s">
        <v>22</v>
      </c>
    </row>
    <row r="21" spans="1:8" ht="13.2">
      <c r="A21" s="1" t="s">
        <v>23</v>
      </c>
      <c r="B21" s="13">
        <f>G17-3*A19</f>
        <v>0</v>
      </c>
      <c r="C21" s="13" t="e">
        <f>H17+3*B19</f>
        <v>#DIV/0!</v>
      </c>
      <c r="D21" s="13">
        <f t="shared" ref="D21:E21" si="2">G17+3*A19</f>
        <v>0</v>
      </c>
      <c r="E21" s="13" t="e">
        <f t="shared" si="2"/>
        <v>#DIV/0!</v>
      </c>
      <c r="F21" s="5"/>
      <c r="G21" s="5"/>
      <c r="H21" s="5"/>
    </row>
    <row r="22" spans="1:8" ht="13.2">
      <c r="A22" s="1" t="s">
        <v>24</v>
      </c>
      <c r="B22" s="13"/>
      <c r="C22" s="13"/>
      <c r="D22" s="13"/>
      <c r="E22" s="13"/>
      <c r="F22" s="5"/>
      <c r="G22" s="5"/>
      <c r="H22" s="5"/>
    </row>
    <row r="23" spans="1:8" ht="13.2">
      <c r="A23" s="1" t="s">
        <v>25</v>
      </c>
      <c r="B23" s="13">
        <v>3.82</v>
      </c>
      <c r="C23" s="13"/>
      <c r="D23" s="1">
        <v>4.9400000000000004</v>
      </c>
      <c r="E23" s="13"/>
      <c r="F23" s="5"/>
      <c r="G23" s="5"/>
      <c r="H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I1058"/>
  <sheetViews>
    <sheetView workbookViewId="0"/>
  </sheetViews>
  <sheetFormatPr defaultColWidth="12.6640625" defaultRowHeight="15.75" customHeight="1"/>
  <cols>
    <col min="1" max="1" width="10.88671875" customWidth="1"/>
    <col min="2" max="2" width="8.33203125" customWidth="1"/>
    <col min="3" max="3" width="6.33203125" customWidth="1"/>
    <col min="4" max="4" width="5.33203125" customWidth="1"/>
    <col min="5" max="5" width="9.6640625" customWidth="1"/>
    <col min="6" max="6" width="6.77734375" customWidth="1"/>
    <col min="7" max="7" width="8.6640625" customWidth="1"/>
    <col min="8" max="8" width="7.44140625" customWidth="1"/>
    <col min="9" max="9" width="9.109375" customWidth="1"/>
    <col min="10" max="10" width="8.109375" customWidth="1"/>
    <col min="11" max="11" width="10.6640625" customWidth="1"/>
    <col min="12" max="12" width="6" customWidth="1"/>
    <col min="13" max="13" width="8.44140625" customWidth="1"/>
    <col min="14" max="14" width="5.21875" customWidth="1"/>
    <col min="15" max="15" width="6" customWidth="1"/>
    <col min="16" max="16" width="4.77734375" customWidth="1"/>
    <col min="17" max="17" width="5.88671875" customWidth="1"/>
    <col min="18" max="18" width="6.44140625" customWidth="1"/>
    <col min="19" max="19" width="5" customWidth="1"/>
    <col min="20" max="20" width="5.44140625" customWidth="1"/>
    <col min="26" max="26" width="7.44140625" customWidth="1"/>
    <col min="27" max="27" width="6.77734375" customWidth="1"/>
    <col min="28" max="28" width="6.33203125" customWidth="1"/>
    <col min="29" max="29" width="7.21875" customWidth="1"/>
    <col min="30" max="30" width="4.88671875" customWidth="1"/>
    <col min="31" max="31" width="7.33203125" customWidth="1"/>
    <col min="32" max="32" width="4.77734375" customWidth="1"/>
    <col min="33" max="33" width="7" customWidth="1"/>
    <col min="34" max="34" width="5.77734375" customWidth="1"/>
    <col min="35" max="35" width="7.44140625" customWidth="1"/>
    <col min="36" max="37" width="7.21875" customWidth="1"/>
    <col min="38" max="38" width="6.77734375" customWidth="1"/>
    <col min="39" max="39" width="7.109375" customWidth="1"/>
    <col min="40" max="41" width="8.33203125" customWidth="1"/>
    <col min="42" max="42" width="7.6640625" customWidth="1"/>
  </cols>
  <sheetData>
    <row r="1" spans="1:87">
      <c r="L1" s="42"/>
      <c r="O1" s="19"/>
      <c r="P1" s="19"/>
      <c r="Q1" s="19"/>
    </row>
    <row r="2" spans="1:87">
      <c r="B2" s="17"/>
      <c r="C2" s="17"/>
      <c r="D2" s="17"/>
      <c r="E2" s="18"/>
      <c r="F2" s="17"/>
      <c r="G2" s="17"/>
      <c r="H2" s="18"/>
      <c r="I2" s="18"/>
      <c r="L2" s="42"/>
      <c r="O2" s="19"/>
      <c r="P2" s="19"/>
      <c r="Q2" s="19"/>
      <c r="AG2" s="1">
        <f>COUNT(AG8:AG30)</f>
        <v>8</v>
      </c>
    </row>
    <row r="3" spans="1:87">
      <c r="B3" s="17">
        <v>6</v>
      </c>
      <c r="C3" s="17">
        <v>3</v>
      </c>
      <c r="D3" s="17">
        <v>0.01</v>
      </c>
      <c r="E3" s="18">
        <f>D3*B3*10^C3</f>
        <v>60</v>
      </c>
      <c r="F3" s="17" t="s">
        <v>55</v>
      </c>
      <c r="G3" s="17">
        <v>0.01</v>
      </c>
      <c r="H3" s="18">
        <f>IF(F3="min",E3*60,E3)</f>
        <v>60</v>
      </c>
      <c r="I3" s="18">
        <f>IF(F3="min",G3*60,G3)</f>
        <v>0.01</v>
      </c>
      <c r="L3" s="42"/>
      <c r="O3" s="19"/>
      <c r="P3" s="19"/>
      <c r="Q3" s="19"/>
      <c r="AA3" s="1">
        <f>AVERAGE(AA9:AA16)</f>
        <v>450.0625</v>
      </c>
      <c r="AB3" s="1">
        <f>SQRT(SUMSQ(AB9:AB16)) / COUNT(AB9:AB16)</f>
        <v>0.99616451954483898</v>
      </c>
      <c r="AC3" s="1">
        <f>AVERAGE(AC10:AC18)</f>
        <v>393.77777777777777</v>
      </c>
      <c r="AD3" s="1">
        <f>SQRT(SUMSQ(AD10:AD18)) / COUNT(AD10:AD18)</f>
        <v>0.87517194077845395</v>
      </c>
      <c r="AE3" s="43">
        <f>AVERAGE(AE12:AE19)</f>
        <v>361.05</v>
      </c>
      <c r="AF3" s="1">
        <f>SQRT(SUMSQ(AF12:AF19)) / COUNT(AF12:AF19)</f>
        <v>0.88873153989267195</v>
      </c>
      <c r="AG3" s="1">
        <f>AVERAGE(AG8:AG30)</f>
        <v>262.95000000000005</v>
      </c>
      <c r="AH3" s="1">
        <f>SQRT(SUMSQ(AH8:AH30)) / COUNT(AH8:AH30)</f>
        <v>0.75591418163704283</v>
      </c>
      <c r="AI3" s="1">
        <f>AVERAGE(AI8:AI30)</f>
        <v>263.51249999999999</v>
      </c>
      <c r="AJ3" s="1">
        <f>SQRT(SUMSQ(AJ8:AJ30)) / COUNT(AJ8:AJ30)</f>
        <v>0.75591418163704271</v>
      </c>
      <c r="AK3" s="1">
        <f>AVERAGE(AK8:AK30)</f>
        <v>274.55555555555554</v>
      </c>
      <c r="AL3" s="1">
        <f>SQRT(SUMSQ(AL8:AL30)) / COUNT(AL8:AL30)</f>
        <v>0.72639818349694019</v>
      </c>
      <c r="AM3" s="1">
        <f>AVERAGE(AM8:AM30)</f>
        <v>297.44545454545454</v>
      </c>
      <c r="AN3" s="1">
        <f>SQRT(SUMSQ(AN8:AN30)) / COUNT(AN8:AN30)</f>
        <v>0.6864689864964677</v>
      </c>
      <c r="AO3" s="1">
        <f>AVERAGE(AO8:AO30)</f>
        <v>315.15833333333336</v>
      </c>
      <c r="AP3" s="1">
        <f>SQRT(SUMSQ(AP8:AP30)) / COUNT(AP8:AP30)</f>
        <v>0.67386736248480095</v>
      </c>
    </row>
    <row r="4" spans="1:87">
      <c r="L4" s="42"/>
      <c r="O4" s="19"/>
      <c r="P4" s="19"/>
      <c r="Q4" s="19"/>
      <c r="AA4" s="1">
        <f t="shared" ref="AA4:AP4" si="0">ROUND(AA3,1)</f>
        <v>450.1</v>
      </c>
      <c r="AB4" s="1">
        <f t="shared" si="0"/>
        <v>1</v>
      </c>
      <c r="AC4" s="1">
        <f t="shared" si="0"/>
        <v>393.8</v>
      </c>
      <c r="AD4" s="1">
        <f t="shared" si="0"/>
        <v>0.9</v>
      </c>
      <c r="AE4" s="43">
        <f t="shared" si="0"/>
        <v>361.1</v>
      </c>
      <c r="AF4" s="1">
        <f t="shared" si="0"/>
        <v>0.9</v>
      </c>
      <c r="AG4" s="1">
        <f t="shared" si="0"/>
        <v>263</v>
      </c>
      <c r="AH4" s="1">
        <f t="shared" si="0"/>
        <v>0.8</v>
      </c>
      <c r="AI4" s="1">
        <f t="shared" si="0"/>
        <v>263.5</v>
      </c>
      <c r="AJ4" s="1">
        <f t="shared" si="0"/>
        <v>0.8</v>
      </c>
      <c r="AK4" s="1">
        <f t="shared" si="0"/>
        <v>274.60000000000002</v>
      </c>
      <c r="AL4" s="1">
        <f t="shared" si="0"/>
        <v>0.7</v>
      </c>
      <c r="AM4" s="1">
        <f t="shared" si="0"/>
        <v>297.39999999999998</v>
      </c>
      <c r="AN4" s="1">
        <f t="shared" si="0"/>
        <v>0.7</v>
      </c>
      <c r="AO4" s="1">
        <f t="shared" si="0"/>
        <v>315.2</v>
      </c>
      <c r="AP4" s="1">
        <f t="shared" si="0"/>
        <v>0.7</v>
      </c>
    </row>
    <row r="5" spans="1:87">
      <c r="L5" s="42"/>
      <c r="O5" s="19"/>
      <c r="P5" s="19"/>
      <c r="Q5" s="19"/>
    </row>
    <row r="6" spans="1:87">
      <c r="A6" s="21" t="s">
        <v>99</v>
      </c>
      <c r="B6" s="21">
        <v>0</v>
      </c>
      <c r="C6" s="21"/>
      <c r="D6" s="15"/>
      <c r="E6" s="15"/>
      <c r="F6" s="15"/>
      <c r="G6" s="15"/>
      <c r="H6" s="15"/>
      <c r="I6" s="15"/>
      <c r="J6" s="15"/>
      <c r="K6" s="42"/>
      <c r="O6" s="19"/>
      <c r="P6" s="19"/>
      <c r="Q6" s="19"/>
      <c r="V6" s="1" t="s">
        <v>100</v>
      </c>
      <c r="Z6" s="42" t="s">
        <v>101</v>
      </c>
    </row>
    <row r="7" spans="1:87">
      <c r="A7" s="21" t="s">
        <v>102</v>
      </c>
      <c r="B7" s="21" t="s">
        <v>103</v>
      </c>
      <c r="C7" s="21" t="s">
        <v>44</v>
      </c>
      <c r="D7" s="15" t="s">
        <v>38</v>
      </c>
      <c r="E7" s="15" t="s">
        <v>47</v>
      </c>
      <c r="F7" s="15" t="s">
        <v>44</v>
      </c>
      <c r="G7" s="15" t="s">
        <v>48</v>
      </c>
      <c r="H7" s="15" t="s">
        <v>44</v>
      </c>
      <c r="I7" s="15" t="s">
        <v>49</v>
      </c>
      <c r="J7" s="15" t="s">
        <v>44</v>
      </c>
      <c r="L7" s="42" t="s">
        <v>104</v>
      </c>
      <c r="M7" s="42" t="s">
        <v>44</v>
      </c>
      <c r="N7" s="42" t="s">
        <v>105</v>
      </c>
      <c r="O7" s="44" t="s">
        <v>106</v>
      </c>
      <c r="P7" s="44" t="s">
        <v>44</v>
      </c>
      <c r="Q7" s="44" t="s">
        <v>105</v>
      </c>
      <c r="R7" s="42" t="s">
        <v>107</v>
      </c>
      <c r="S7" s="42" t="s">
        <v>44</v>
      </c>
      <c r="T7" s="42" t="s">
        <v>105</v>
      </c>
      <c r="U7" s="45" t="str">
        <f t="shared" ref="U7:U21" si="1">D7</f>
        <v>θ / º</v>
      </c>
      <c r="V7" s="1" t="s">
        <v>108</v>
      </c>
      <c r="W7" s="1" t="s">
        <v>44</v>
      </c>
      <c r="Z7" s="1" t="str">
        <f t="shared" ref="Z7:Z21" si="2">D7</f>
        <v>θ / º</v>
      </c>
      <c r="AA7" s="46" t="s">
        <v>109</v>
      </c>
      <c r="AB7" s="46" t="str">
        <f>P7</f>
        <v>err</v>
      </c>
      <c r="AC7" s="46" t="s">
        <v>110</v>
      </c>
      <c r="AD7" s="46" t="s">
        <v>44</v>
      </c>
      <c r="AE7" s="46" t="s">
        <v>111</v>
      </c>
      <c r="AF7" s="46" t="s">
        <v>44</v>
      </c>
      <c r="AG7" s="42" t="s">
        <v>112</v>
      </c>
      <c r="AH7" s="42" t="s">
        <v>44</v>
      </c>
      <c r="AI7" s="42" t="s">
        <v>113</v>
      </c>
      <c r="AJ7" s="42" t="s">
        <v>44</v>
      </c>
      <c r="AK7" s="42" t="s">
        <v>114</v>
      </c>
      <c r="AL7" s="42" t="s">
        <v>44</v>
      </c>
      <c r="AM7" s="42" t="s">
        <v>115</v>
      </c>
      <c r="AN7" s="42" t="s">
        <v>44</v>
      </c>
      <c r="AO7" s="42" t="s">
        <v>116</v>
      </c>
      <c r="AP7" s="42" t="s">
        <v>44</v>
      </c>
      <c r="AQ7" s="42"/>
      <c r="AR7" s="42"/>
      <c r="AS7" s="42"/>
      <c r="AT7" s="42"/>
      <c r="AU7" s="42"/>
      <c r="AV7" s="42"/>
      <c r="AW7" s="42"/>
      <c r="AX7" s="42"/>
      <c r="AY7" s="42"/>
      <c r="AZ7" s="15" t="s">
        <v>38</v>
      </c>
      <c r="BA7" s="46" t="s">
        <v>109</v>
      </c>
      <c r="BB7" s="46" t="str">
        <f>AP7</f>
        <v>err</v>
      </c>
      <c r="BC7" s="46" t="s">
        <v>110</v>
      </c>
      <c r="BD7" s="46" t="s">
        <v>44</v>
      </c>
      <c r="BE7" s="46" t="s">
        <v>111</v>
      </c>
      <c r="BF7" s="46" t="s">
        <v>44</v>
      </c>
      <c r="BG7" s="42" t="s">
        <v>112</v>
      </c>
      <c r="BH7" s="42" t="s">
        <v>44</v>
      </c>
      <c r="BI7" s="42" t="s">
        <v>113</v>
      </c>
      <c r="BJ7" s="42" t="s">
        <v>44</v>
      </c>
      <c r="BK7" s="42" t="s">
        <v>114</v>
      </c>
      <c r="BL7" s="42" t="s">
        <v>44</v>
      </c>
      <c r="BM7" s="42" t="s">
        <v>115</v>
      </c>
      <c r="BN7" s="42" t="s">
        <v>44</v>
      </c>
      <c r="BO7" s="42" t="s">
        <v>116</v>
      </c>
      <c r="BP7" s="42" t="s">
        <v>44</v>
      </c>
      <c r="BQ7" s="42"/>
      <c r="BR7" s="15" t="s">
        <v>38</v>
      </c>
      <c r="BS7" s="46" t="s">
        <v>109</v>
      </c>
      <c r="BT7" s="46" t="str">
        <f>AP32</f>
        <v>err</v>
      </c>
      <c r="BU7" s="46" t="s">
        <v>110</v>
      </c>
      <c r="BV7" s="46" t="s">
        <v>44</v>
      </c>
      <c r="BW7" s="46" t="s">
        <v>111</v>
      </c>
      <c r="BX7" s="46" t="s">
        <v>44</v>
      </c>
      <c r="BY7" s="42" t="s">
        <v>112</v>
      </c>
      <c r="BZ7" s="42" t="s">
        <v>44</v>
      </c>
      <c r="CA7" s="42" t="s">
        <v>113</v>
      </c>
      <c r="CB7" s="42" t="s">
        <v>44</v>
      </c>
      <c r="CC7" s="42" t="s">
        <v>114</v>
      </c>
      <c r="CD7" s="42" t="s">
        <v>44</v>
      </c>
      <c r="CE7" s="42" t="s">
        <v>115</v>
      </c>
      <c r="CF7" s="42" t="s">
        <v>44</v>
      </c>
      <c r="CG7" s="42" t="s">
        <v>116</v>
      </c>
      <c r="CH7" s="42" t="s">
        <v>44</v>
      </c>
      <c r="CI7" s="42"/>
    </row>
    <row r="8" spans="1:87">
      <c r="A8" s="1"/>
      <c r="B8" s="36"/>
      <c r="C8" s="1"/>
      <c r="D8" s="45">
        <v>-55</v>
      </c>
      <c r="E8" s="45">
        <v>17550</v>
      </c>
      <c r="F8" s="45">
        <f t="shared" ref="F8:F53" si="3">ROUND(SQRT(E8),0)</f>
        <v>132</v>
      </c>
      <c r="G8" s="45">
        <v>34124</v>
      </c>
      <c r="H8" s="45">
        <f t="shared" ref="H8:H53" si="4">ROUND(SQRT(G8),0)</f>
        <v>185</v>
      </c>
      <c r="I8" s="45">
        <v>35</v>
      </c>
      <c r="J8" s="45">
        <f t="shared" ref="J8:J53" si="5">ROUND(SQRT(I8),0)</f>
        <v>6</v>
      </c>
      <c r="L8" s="1">
        <f t="shared" ref="L8:L21" si="6">ROUND(E8/$H$3,N8)</f>
        <v>292.5</v>
      </c>
      <c r="M8" s="1">
        <f t="shared" ref="M8:M21" si="7">ROUND(  ABS(F8/$H$3) + ABS(E8*$I$3/$H$3/$H$3),N8)</f>
        <v>2.2000000000000002</v>
      </c>
      <c r="N8" s="42">
        <v>1</v>
      </c>
      <c r="O8" s="19">
        <f t="shared" ref="O8:O21" si="8">ROUND(G8/$H$3,Q8)</f>
        <v>568.70000000000005</v>
      </c>
      <c r="P8" s="19">
        <f t="shared" ref="P8:P21" si="9">ROUND(  ABS(H8/$H$3) + ABS(G8*$I$3/$H$3/$H$3),Q8)</f>
        <v>3.2</v>
      </c>
      <c r="Q8" s="44">
        <v>1</v>
      </c>
      <c r="R8" s="1">
        <f t="shared" ref="R8:R21" si="10">ROUND(I8/$H$3,T8)</f>
        <v>0.57999999999999996</v>
      </c>
      <c r="S8" s="36">
        <f t="shared" ref="S8:S21" si="11">ROUND(  ABS(J8/$H$3) + ABS(I8*$I$3/$H$3/$H$3),T8)</f>
        <v>0.1</v>
      </c>
      <c r="T8" s="42">
        <v>2</v>
      </c>
      <c r="U8" s="45">
        <f t="shared" si="1"/>
        <v>-55</v>
      </c>
      <c r="V8" s="1">
        <f>AVERAGE(L8:L21)</f>
        <v>291.07857142857137</v>
      </c>
      <c r="W8" s="1">
        <f>SQRT(SUMSQ(M8:M21)) /14</f>
        <v>0.59186664245333132</v>
      </c>
      <c r="Z8" s="1">
        <f t="shared" si="2"/>
        <v>-55</v>
      </c>
      <c r="AA8" s="42">
        <f t="shared" ref="AA8:AB8" si="12">O8</f>
        <v>568.70000000000005</v>
      </c>
      <c r="AB8" s="42">
        <f t="shared" si="12"/>
        <v>3.2</v>
      </c>
      <c r="AC8" s="19">
        <f t="shared" ref="AC8:AD8" si="13">O24</f>
        <v>489.6</v>
      </c>
      <c r="AD8" s="19">
        <f t="shared" si="13"/>
        <v>2.9</v>
      </c>
      <c r="AZ8" s="1">
        <f t="shared" ref="AZ8:AZ30" si="14">Z8</f>
        <v>-55</v>
      </c>
      <c r="BR8" s="1">
        <f t="shared" ref="BR8:BR30" si="15">Z33</f>
        <v>-55</v>
      </c>
      <c r="BT8" s="47">
        <f>ROUND(BB8,3)</f>
        <v>0</v>
      </c>
      <c r="BU8" s="47"/>
      <c r="BV8" s="47"/>
    </row>
    <row r="9" spans="1:87">
      <c r="A9" s="1"/>
      <c r="B9" s="36"/>
      <c r="C9" s="1"/>
      <c r="D9" s="45">
        <v>-50</v>
      </c>
      <c r="E9" s="45">
        <v>17403</v>
      </c>
      <c r="F9" s="45">
        <f t="shared" si="3"/>
        <v>132</v>
      </c>
      <c r="G9" s="45">
        <v>32319</v>
      </c>
      <c r="H9" s="45">
        <f t="shared" si="4"/>
        <v>180</v>
      </c>
      <c r="I9" s="45">
        <v>98</v>
      </c>
      <c r="J9" s="45">
        <f t="shared" si="5"/>
        <v>10</v>
      </c>
      <c r="L9" s="1">
        <f t="shared" si="6"/>
        <v>290.10000000000002</v>
      </c>
      <c r="M9" s="1">
        <f t="shared" si="7"/>
        <v>2.2000000000000002</v>
      </c>
      <c r="N9" s="42">
        <v>1</v>
      </c>
      <c r="O9" s="19">
        <f t="shared" si="8"/>
        <v>538.70000000000005</v>
      </c>
      <c r="P9" s="19">
        <f t="shared" si="9"/>
        <v>3.1</v>
      </c>
      <c r="Q9" s="44">
        <v>1</v>
      </c>
      <c r="R9" s="1">
        <f t="shared" si="10"/>
        <v>1.6</v>
      </c>
      <c r="S9" s="1">
        <f t="shared" si="11"/>
        <v>0.2</v>
      </c>
      <c r="T9" s="42">
        <v>1</v>
      </c>
      <c r="U9" s="45">
        <f t="shared" si="1"/>
        <v>-50</v>
      </c>
      <c r="V9" s="19">
        <f>ROUND(V8,W10)</f>
        <v>291.10000000000002</v>
      </c>
      <c r="W9" s="19">
        <f>ROUND(W8,W10)</f>
        <v>0.6</v>
      </c>
      <c r="Z9" s="1">
        <f t="shared" si="2"/>
        <v>-50</v>
      </c>
      <c r="AA9" s="42">
        <f t="shared" ref="AA9:AB9" si="16">O9</f>
        <v>538.70000000000005</v>
      </c>
      <c r="AB9" s="42">
        <f t="shared" si="16"/>
        <v>3.1</v>
      </c>
      <c r="AC9" s="19">
        <f t="shared" ref="AC9:AD9" si="17">O25</f>
        <v>473.6</v>
      </c>
      <c r="AD9" s="19">
        <f t="shared" si="17"/>
        <v>2.9</v>
      </c>
      <c r="AE9" s="43">
        <f t="shared" ref="AE9:AF9" si="18">O40</f>
        <v>421.9</v>
      </c>
      <c r="AF9" s="1">
        <f t="shared" si="18"/>
        <v>2.7</v>
      </c>
      <c r="AZ9" s="1">
        <f t="shared" si="14"/>
        <v>-50</v>
      </c>
      <c r="BA9" s="1">
        <f t="shared" ref="BA9:BA16" si="19">AA9/AA$3</f>
        <v>1.1969448687682267</v>
      </c>
      <c r="BB9" s="1">
        <f t="shared" ref="BB9:BB16" si="20">ABS(AB9/AA$3) +ABS(AA9*AB$3/AA$3/AA$3)</f>
        <v>9.5372398502833744E-3</v>
      </c>
      <c r="BR9" s="1">
        <f t="shared" si="15"/>
        <v>-50</v>
      </c>
      <c r="BS9" s="47">
        <f t="shared" ref="BS9:BT9" si="21">ROUND(BA9,3)</f>
        <v>1.1970000000000001</v>
      </c>
      <c r="BT9" s="47">
        <f t="shared" si="21"/>
        <v>0.01</v>
      </c>
      <c r="BU9" s="47"/>
      <c r="BV9" s="47"/>
      <c r="BW9" s="47"/>
      <c r="BX9" s="47"/>
    </row>
    <row r="10" spans="1:87">
      <c r="A10" s="1"/>
      <c r="B10" s="36"/>
      <c r="C10" s="1"/>
      <c r="D10" s="45">
        <v>-45</v>
      </c>
      <c r="E10" s="45">
        <v>17477</v>
      </c>
      <c r="F10" s="45">
        <f t="shared" si="3"/>
        <v>132</v>
      </c>
      <c r="G10" s="45">
        <v>30766</v>
      </c>
      <c r="H10" s="45">
        <f t="shared" si="4"/>
        <v>175</v>
      </c>
      <c r="I10" s="45">
        <v>557</v>
      </c>
      <c r="J10" s="45">
        <f t="shared" si="5"/>
        <v>24</v>
      </c>
      <c r="L10" s="1">
        <f t="shared" si="6"/>
        <v>291.3</v>
      </c>
      <c r="M10" s="1">
        <f t="shared" si="7"/>
        <v>2.2000000000000002</v>
      </c>
      <c r="N10" s="42">
        <v>1</v>
      </c>
      <c r="O10" s="19">
        <f t="shared" si="8"/>
        <v>512.79999999999995</v>
      </c>
      <c r="P10" s="26">
        <f t="shared" si="9"/>
        <v>3</v>
      </c>
      <c r="Q10" s="44">
        <v>1</v>
      </c>
      <c r="R10" s="1">
        <f t="shared" si="10"/>
        <v>9.2799999999999994</v>
      </c>
      <c r="S10" s="36">
        <f t="shared" si="11"/>
        <v>0.4</v>
      </c>
      <c r="T10" s="42">
        <v>2</v>
      </c>
      <c r="U10" s="45">
        <f t="shared" si="1"/>
        <v>-45</v>
      </c>
      <c r="V10" s="1" t="s">
        <v>117</v>
      </c>
      <c r="W10" s="1">
        <v>1</v>
      </c>
      <c r="Z10" s="1">
        <f t="shared" si="2"/>
        <v>-45</v>
      </c>
      <c r="AA10" s="42">
        <f t="shared" ref="AA10:AB10" si="22">O10</f>
        <v>512.79999999999995</v>
      </c>
      <c r="AB10" s="48">
        <f t="shared" si="22"/>
        <v>3</v>
      </c>
      <c r="AC10" s="19">
        <f t="shared" ref="AC10:AD10" si="23">O26</f>
        <v>455.4</v>
      </c>
      <c r="AD10" s="19">
        <f t="shared" si="23"/>
        <v>2.8</v>
      </c>
      <c r="AE10" s="43">
        <f t="shared" ref="AE10:AF10" si="24">O41</f>
        <v>410.9</v>
      </c>
      <c r="AF10" s="1">
        <f t="shared" si="24"/>
        <v>2.7</v>
      </c>
      <c r="AZ10" s="1">
        <f t="shared" si="14"/>
        <v>-45</v>
      </c>
      <c r="BA10" s="1">
        <f t="shared" si="19"/>
        <v>1.139397305929732</v>
      </c>
      <c r="BB10" s="1">
        <f t="shared" si="20"/>
        <v>9.187673200571421E-3</v>
      </c>
      <c r="BC10" s="1">
        <f t="shared" ref="BC10:BC18" si="25">AC10/AC$3</f>
        <v>1.156489841986456</v>
      </c>
      <c r="BD10" s="1">
        <f t="shared" ref="BD10:BD18" si="26">ABS(AD10/AC$3) +ABS(AC10*AD$3/AC$3/AC$3)</f>
        <v>9.680910591285747E-3</v>
      </c>
      <c r="BR10" s="1">
        <f t="shared" si="15"/>
        <v>-45</v>
      </c>
      <c r="BS10" s="1">
        <f t="shared" ref="BS10:BV10" si="27">ROUND(BA10,3)</f>
        <v>1.139</v>
      </c>
      <c r="BT10" s="1">
        <f t="shared" si="27"/>
        <v>8.9999999999999993E-3</v>
      </c>
      <c r="BU10" s="1">
        <f t="shared" si="27"/>
        <v>1.1559999999999999</v>
      </c>
      <c r="BV10" s="1">
        <f t="shared" si="27"/>
        <v>0.01</v>
      </c>
      <c r="BW10" s="47"/>
      <c r="BX10" s="47"/>
    </row>
    <row r="11" spans="1:87">
      <c r="A11" s="1"/>
      <c r="B11" s="36"/>
      <c r="C11" s="1"/>
      <c r="D11" s="45">
        <v>-40</v>
      </c>
      <c r="E11" s="45">
        <v>17512</v>
      </c>
      <c r="F11" s="45">
        <f t="shared" si="3"/>
        <v>132</v>
      </c>
      <c r="G11" s="45">
        <v>28667</v>
      </c>
      <c r="H11" s="45">
        <f t="shared" si="4"/>
        <v>169</v>
      </c>
      <c r="I11" s="45">
        <v>2814</v>
      </c>
      <c r="J11" s="45">
        <f t="shared" si="5"/>
        <v>53</v>
      </c>
      <c r="L11" s="1">
        <f t="shared" si="6"/>
        <v>291.89999999999998</v>
      </c>
      <c r="M11" s="1">
        <f t="shared" si="7"/>
        <v>2.2000000000000002</v>
      </c>
      <c r="N11" s="42">
        <v>1</v>
      </c>
      <c r="O11" s="19">
        <f t="shared" si="8"/>
        <v>477.8</v>
      </c>
      <c r="P11" s="19">
        <f t="shared" si="9"/>
        <v>2.9</v>
      </c>
      <c r="Q11" s="44">
        <v>1</v>
      </c>
      <c r="R11" s="36">
        <f t="shared" si="10"/>
        <v>46.9</v>
      </c>
      <c r="S11" s="1">
        <f t="shared" si="11"/>
        <v>0.89</v>
      </c>
      <c r="T11" s="42">
        <v>2</v>
      </c>
      <c r="U11" s="45">
        <f t="shared" si="1"/>
        <v>-40</v>
      </c>
      <c r="Z11" s="1">
        <f t="shared" si="2"/>
        <v>-40</v>
      </c>
      <c r="AA11" s="42">
        <f t="shared" ref="AA11:AB11" si="28">O11</f>
        <v>477.8</v>
      </c>
      <c r="AB11" s="42">
        <f t="shared" si="28"/>
        <v>2.9</v>
      </c>
      <c r="AC11" s="19">
        <f t="shared" ref="AC11:AD11" si="29">O27</f>
        <v>437.4</v>
      </c>
      <c r="AD11" s="19">
        <f t="shared" si="29"/>
        <v>2.8</v>
      </c>
      <c r="AE11" s="43">
        <f t="shared" ref="AE11:AF11" si="30">O42</f>
        <v>404.2</v>
      </c>
      <c r="AF11" s="1">
        <f t="shared" si="30"/>
        <v>2.7</v>
      </c>
      <c r="AZ11" s="1">
        <f t="shared" si="14"/>
        <v>-40</v>
      </c>
      <c r="BA11" s="1">
        <f t="shared" si="19"/>
        <v>1.0616303291209555</v>
      </c>
      <c r="BB11" s="1">
        <f t="shared" si="20"/>
        <v>8.7933530715023044E-3</v>
      </c>
      <c r="BC11" s="1">
        <f t="shared" si="25"/>
        <v>1.1107787810383747</v>
      </c>
      <c r="BD11" s="1">
        <f t="shared" si="26"/>
        <v>9.5793176620180345E-3</v>
      </c>
      <c r="BR11" s="1">
        <f t="shared" si="15"/>
        <v>-40</v>
      </c>
      <c r="BS11" s="1">
        <f t="shared" ref="BS11:BV11" si="31">ROUND(BA11,3)</f>
        <v>1.0620000000000001</v>
      </c>
      <c r="BT11" s="1">
        <f t="shared" si="31"/>
        <v>8.9999999999999993E-3</v>
      </c>
      <c r="BU11" s="1">
        <f t="shared" si="31"/>
        <v>1.111</v>
      </c>
      <c r="BV11" s="1">
        <f t="shared" si="31"/>
        <v>0.01</v>
      </c>
      <c r="CE11" s="47"/>
      <c r="CF11" s="47"/>
    </row>
    <row r="12" spans="1:87">
      <c r="A12" s="1"/>
      <c r="B12" s="36"/>
      <c r="C12" s="1"/>
      <c r="D12" s="45">
        <v>-35</v>
      </c>
      <c r="E12" s="45">
        <v>17442</v>
      </c>
      <c r="F12" s="45">
        <f t="shared" si="3"/>
        <v>132</v>
      </c>
      <c r="G12" s="45">
        <v>27615</v>
      </c>
      <c r="H12" s="45">
        <f t="shared" si="4"/>
        <v>166</v>
      </c>
      <c r="I12" s="45">
        <v>5023</v>
      </c>
      <c r="J12" s="45">
        <f t="shared" si="5"/>
        <v>71</v>
      </c>
      <c r="L12" s="1">
        <f t="shared" si="6"/>
        <v>290.7</v>
      </c>
      <c r="M12" s="1">
        <f t="shared" si="7"/>
        <v>2.2000000000000002</v>
      </c>
      <c r="N12" s="42">
        <v>1</v>
      </c>
      <c r="O12" s="19">
        <f t="shared" si="8"/>
        <v>460.3</v>
      </c>
      <c r="P12" s="19">
        <f t="shared" si="9"/>
        <v>2.8</v>
      </c>
      <c r="Q12" s="44">
        <v>1</v>
      </c>
      <c r="R12" s="1">
        <f t="shared" si="10"/>
        <v>83.7</v>
      </c>
      <c r="S12" s="43">
        <f t="shared" si="11"/>
        <v>1.2</v>
      </c>
      <c r="T12" s="42">
        <v>1</v>
      </c>
      <c r="U12" s="45">
        <f t="shared" si="1"/>
        <v>-35</v>
      </c>
      <c r="Z12" s="1">
        <f t="shared" si="2"/>
        <v>-35</v>
      </c>
      <c r="AA12" s="42">
        <f t="shared" ref="AA12:AB12" si="32">O12</f>
        <v>460.3</v>
      </c>
      <c r="AB12" s="42">
        <f t="shared" si="32"/>
        <v>2.8</v>
      </c>
      <c r="AC12" s="19">
        <f t="shared" ref="AC12:AD12" si="33">O28</f>
        <v>423.2</v>
      </c>
      <c r="AD12" s="19">
        <f t="shared" si="33"/>
        <v>2.7</v>
      </c>
      <c r="AE12" s="43">
        <f t="shared" ref="AE12:AF12" si="34">O43</f>
        <v>391.7</v>
      </c>
      <c r="AF12" s="1">
        <f t="shared" si="34"/>
        <v>2.6</v>
      </c>
      <c r="AZ12" s="1">
        <f t="shared" si="14"/>
        <v>-35</v>
      </c>
      <c r="BA12" s="1">
        <f t="shared" si="19"/>
        <v>1.0227468407165672</v>
      </c>
      <c r="BB12" s="1">
        <f t="shared" si="20"/>
        <v>8.4850973258123498E-3</v>
      </c>
      <c r="BC12" s="1">
        <f t="shared" si="25"/>
        <v>1.0747178329571105</v>
      </c>
      <c r="BD12" s="1">
        <f t="shared" si="26"/>
        <v>9.245221790328613E-3</v>
      </c>
      <c r="BE12" s="1">
        <f t="shared" ref="BE12:BE19" si="35">AE12/AE$3</f>
        <v>1.0848912892951115</v>
      </c>
      <c r="BF12" s="1">
        <f t="shared" ref="BF12:BF19" si="36">ABS(AF12/AE$3) +ABS(AE12*AF$3/AE$3/AE$3)</f>
        <v>9.8716995046430993E-3</v>
      </c>
      <c r="BR12" s="1">
        <f t="shared" si="15"/>
        <v>-35</v>
      </c>
      <c r="BS12" s="1">
        <f t="shared" ref="BS12:BX12" si="37">ROUND(BA12,3)</f>
        <v>1.0229999999999999</v>
      </c>
      <c r="BT12" s="1">
        <f t="shared" si="37"/>
        <v>8.0000000000000002E-3</v>
      </c>
      <c r="BU12" s="1">
        <f t="shared" si="37"/>
        <v>1.075</v>
      </c>
      <c r="BV12" s="1">
        <f t="shared" si="37"/>
        <v>8.9999999999999993E-3</v>
      </c>
      <c r="BW12" s="1">
        <f t="shared" si="37"/>
        <v>1.085</v>
      </c>
      <c r="BX12" s="1">
        <f t="shared" si="37"/>
        <v>0.01</v>
      </c>
      <c r="CA12" s="47"/>
      <c r="CB12" s="47"/>
      <c r="CC12" s="47"/>
      <c r="CD12" s="47"/>
      <c r="CE12" s="47"/>
      <c r="CF12" s="47"/>
      <c r="CG12" s="47"/>
      <c r="CH12" s="47"/>
    </row>
    <row r="13" spans="1:87">
      <c r="A13" s="1"/>
      <c r="B13" s="36"/>
      <c r="C13" s="1"/>
      <c r="D13" s="45">
        <v>-30</v>
      </c>
      <c r="E13" s="45">
        <v>17447</v>
      </c>
      <c r="F13" s="45">
        <f t="shared" si="3"/>
        <v>132</v>
      </c>
      <c r="G13" s="45">
        <v>26220</v>
      </c>
      <c r="H13" s="45">
        <f t="shared" si="4"/>
        <v>162</v>
      </c>
      <c r="I13" s="45">
        <v>6022</v>
      </c>
      <c r="J13" s="45">
        <f t="shared" si="5"/>
        <v>78</v>
      </c>
      <c r="K13" s="49">
        <f>0.02*I13</f>
        <v>120.44</v>
      </c>
      <c r="L13" s="1">
        <f t="shared" si="6"/>
        <v>290.8</v>
      </c>
      <c r="M13" s="1">
        <f t="shared" si="7"/>
        <v>2.2000000000000002</v>
      </c>
      <c r="N13" s="42">
        <v>1</v>
      </c>
      <c r="O13" s="26">
        <f t="shared" si="8"/>
        <v>437</v>
      </c>
      <c r="P13" s="19">
        <f t="shared" si="9"/>
        <v>2.8</v>
      </c>
      <c r="Q13" s="44">
        <v>1</v>
      </c>
      <c r="R13" s="1">
        <f t="shared" si="10"/>
        <v>100.4</v>
      </c>
      <c r="S13" s="1">
        <f t="shared" si="11"/>
        <v>1.3</v>
      </c>
      <c r="T13" s="42">
        <v>1</v>
      </c>
      <c r="U13" s="45">
        <f t="shared" si="1"/>
        <v>-30</v>
      </c>
      <c r="Z13" s="1">
        <f t="shared" si="2"/>
        <v>-30</v>
      </c>
      <c r="AA13" s="48">
        <f t="shared" ref="AA13:AB13" si="38">O13</f>
        <v>437</v>
      </c>
      <c r="AB13" s="42">
        <f t="shared" si="38"/>
        <v>2.8</v>
      </c>
      <c r="AC13" s="19">
        <f t="shared" ref="AC13:AD13" si="39">O29</f>
        <v>408.2</v>
      </c>
      <c r="AD13" s="19">
        <f t="shared" si="39"/>
        <v>2.7</v>
      </c>
      <c r="AE13" s="43">
        <f t="shared" ref="AE13:AF13" si="40">O44</f>
        <v>384.4</v>
      </c>
      <c r="AF13" s="1">
        <f t="shared" si="40"/>
        <v>2.6</v>
      </c>
      <c r="AZ13" s="1">
        <f t="shared" si="14"/>
        <v>-30</v>
      </c>
      <c r="BA13" s="1">
        <f t="shared" si="19"/>
        <v>0.97097625329815307</v>
      </c>
      <c r="BB13" s="1">
        <f t="shared" si="20"/>
        <v>8.3705087467989495E-3</v>
      </c>
      <c r="BC13" s="1">
        <f t="shared" si="25"/>
        <v>1.036625282167043</v>
      </c>
      <c r="BD13" s="1">
        <f t="shared" si="26"/>
        <v>9.160561015938852E-3</v>
      </c>
      <c r="BE13" s="1">
        <f t="shared" si="35"/>
        <v>1.0646724830355905</v>
      </c>
      <c r="BF13" s="1">
        <f t="shared" si="36"/>
        <v>9.8219305230011766E-3</v>
      </c>
      <c r="BR13" s="1">
        <f t="shared" si="15"/>
        <v>-30</v>
      </c>
      <c r="BS13" s="1">
        <f t="shared" ref="BS13:BX13" si="41">ROUND(BA13,3)</f>
        <v>0.97099999999999997</v>
      </c>
      <c r="BT13" s="1">
        <f t="shared" si="41"/>
        <v>8.0000000000000002E-3</v>
      </c>
      <c r="BU13" s="47">
        <f t="shared" si="41"/>
        <v>1.0369999999999999</v>
      </c>
      <c r="BV13" s="47">
        <f t="shared" si="41"/>
        <v>8.9999999999999993E-3</v>
      </c>
      <c r="BW13" s="1">
        <f t="shared" si="41"/>
        <v>1.0649999999999999</v>
      </c>
      <c r="BX13" s="1">
        <f t="shared" si="41"/>
        <v>0.01</v>
      </c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7">
      <c r="A14" s="1"/>
      <c r="B14" s="36"/>
      <c r="C14" s="1"/>
      <c r="D14" s="45">
        <v>-25</v>
      </c>
      <c r="E14" s="45">
        <v>17398</v>
      </c>
      <c r="F14" s="45">
        <f t="shared" si="3"/>
        <v>132</v>
      </c>
      <c r="G14" s="45">
        <v>24768</v>
      </c>
      <c r="H14" s="45">
        <f t="shared" si="4"/>
        <v>157</v>
      </c>
      <c r="I14" s="45">
        <v>3755</v>
      </c>
      <c r="J14" s="45">
        <f t="shared" si="5"/>
        <v>61</v>
      </c>
      <c r="L14" s="43">
        <f t="shared" si="6"/>
        <v>290</v>
      </c>
      <c r="M14" s="1">
        <f t="shared" si="7"/>
        <v>2.2000000000000002</v>
      </c>
      <c r="N14" s="42">
        <v>1</v>
      </c>
      <c r="O14" s="19">
        <f t="shared" si="8"/>
        <v>412.8</v>
      </c>
      <c r="P14" s="19">
        <f t="shared" si="9"/>
        <v>2.7</v>
      </c>
      <c r="Q14" s="44">
        <v>1</v>
      </c>
      <c r="R14" s="1">
        <f t="shared" si="10"/>
        <v>62.6</v>
      </c>
      <c r="S14" s="43">
        <f t="shared" si="11"/>
        <v>1</v>
      </c>
      <c r="T14" s="42">
        <v>1</v>
      </c>
      <c r="U14" s="45">
        <f t="shared" si="1"/>
        <v>-25</v>
      </c>
      <c r="Z14" s="1">
        <f t="shared" si="2"/>
        <v>-25</v>
      </c>
      <c r="AA14" s="42">
        <f t="shared" ref="AA14:AB14" si="42">O14</f>
        <v>412.8</v>
      </c>
      <c r="AB14" s="42">
        <f t="shared" si="42"/>
        <v>2.7</v>
      </c>
      <c r="AC14" s="19">
        <f t="shared" ref="AC14:AD14" si="43">O30</f>
        <v>398.3</v>
      </c>
      <c r="AD14" s="19">
        <f t="shared" si="43"/>
        <v>2.6</v>
      </c>
      <c r="AE14" s="43">
        <f t="shared" ref="AE14:AF14" si="44">O45</f>
        <v>378.5</v>
      </c>
      <c r="AF14" s="1">
        <f t="shared" si="44"/>
        <v>2.6</v>
      </c>
      <c r="AG14" s="19">
        <f t="shared" ref="AG14:AH14" si="45">O55</f>
        <v>273.60000000000002</v>
      </c>
      <c r="AH14" s="19">
        <f t="shared" si="45"/>
        <v>2.2000000000000002</v>
      </c>
      <c r="AZ14" s="1">
        <f t="shared" si="14"/>
        <v>-25</v>
      </c>
      <c r="BA14" s="1">
        <f t="shared" si="19"/>
        <v>0.91720594361894181</v>
      </c>
      <c r="BB14" s="1">
        <f t="shared" si="20"/>
        <v>8.0293026371866891E-3</v>
      </c>
      <c r="BC14" s="1">
        <f t="shared" si="25"/>
        <v>1.0114841986455982</v>
      </c>
      <c r="BD14" s="1">
        <f t="shared" si="26"/>
        <v>8.8507345662411589E-3</v>
      </c>
      <c r="BE14" s="1">
        <f t="shared" si="35"/>
        <v>1.0483312560587177</v>
      </c>
      <c r="BF14" s="1">
        <f t="shared" si="36"/>
        <v>9.7817062775645558E-3</v>
      </c>
      <c r="BG14" s="1">
        <f t="shared" ref="BG14:BG21" si="46">AG14/AG$3</f>
        <v>1.0405019965772959</v>
      </c>
      <c r="BH14" s="1">
        <f t="shared" ref="BH14:BH21" si="47">ABS(AH14/AG$3) +ABS(AG14*AH$3/AG$3/AG$3)</f>
        <v>1.1357787469992149E-2</v>
      </c>
      <c r="BR14" s="1">
        <f t="shared" si="15"/>
        <v>-25</v>
      </c>
      <c r="BS14" s="1">
        <f t="shared" ref="BS14:BZ14" si="48">ROUND(BA14,3)</f>
        <v>0.91700000000000004</v>
      </c>
      <c r="BT14" s="1">
        <f t="shared" si="48"/>
        <v>8.0000000000000002E-3</v>
      </c>
      <c r="BU14" s="1">
        <f t="shared" si="48"/>
        <v>1.0109999999999999</v>
      </c>
      <c r="BV14" s="1">
        <f t="shared" si="48"/>
        <v>8.9999999999999993E-3</v>
      </c>
      <c r="BW14" s="47">
        <f t="shared" si="48"/>
        <v>1.048</v>
      </c>
      <c r="BX14" s="47">
        <f t="shared" si="48"/>
        <v>0.01</v>
      </c>
      <c r="BY14" s="47">
        <f t="shared" si="48"/>
        <v>1.0409999999999999</v>
      </c>
      <c r="BZ14" s="47">
        <f t="shared" si="48"/>
        <v>1.0999999999999999E-2</v>
      </c>
      <c r="CA14" s="47"/>
      <c r="CB14" s="47"/>
      <c r="CC14" s="47"/>
      <c r="CD14" s="47"/>
      <c r="CE14" s="47"/>
      <c r="CF14" s="47"/>
      <c r="CG14" s="47"/>
      <c r="CH14" s="47"/>
    </row>
    <row r="15" spans="1:87">
      <c r="A15" s="1">
        <v>-5</v>
      </c>
      <c r="B15" s="36">
        <v>-4</v>
      </c>
      <c r="C15" s="1">
        <v>0.05</v>
      </c>
      <c r="D15" s="45">
        <v>-20</v>
      </c>
      <c r="E15" s="45">
        <v>17679</v>
      </c>
      <c r="F15" s="45">
        <f t="shared" si="3"/>
        <v>133</v>
      </c>
      <c r="G15" s="45">
        <v>23301</v>
      </c>
      <c r="H15" s="45">
        <f t="shared" si="4"/>
        <v>153</v>
      </c>
      <c r="I15" s="45">
        <v>1222</v>
      </c>
      <c r="J15" s="45">
        <f t="shared" si="5"/>
        <v>35</v>
      </c>
      <c r="L15" s="1">
        <f t="shared" si="6"/>
        <v>294.7</v>
      </c>
      <c r="M15" s="1">
        <f t="shared" si="7"/>
        <v>2.2999999999999998</v>
      </c>
      <c r="N15" s="42">
        <v>1</v>
      </c>
      <c r="O15" s="19">
        <f t="shared" si="8"/>
        <v>388.4</v>
      </c>
      <c r="P15" s="19">
        <f t="shared" si="9"/>
        <v>2.6</v>
      </c>
      <c r="Q15" s="44">
        <v>1</v>
      </c>
      <c r="R15" s="1">
        <f t="shared" si="10"/>
        <v>20.37</v>
      </c>
      <c r="S15" s="1">
        <f t="shared" si="11"/>
        <v>0.59</v>
      </c>
      <c r="T15" s="42">
        <v>2</v>
      </c>
      <c r="U15" s="45">
        <f t="shared" si="1"/>
        <v>-20</v>
      </c>
      <c r="Z15" s="1">
        <f t="shared" si="2"/>
        <v>-20</v>
      </c>
      <c r="AA15" s="42">
        <f t="shared" ref="AA15:AB15" si="49">O15</f>
        <v>388.4</v>
      </c>
      <c r="AB15" s="42">
        <f t="shared" si="49"/>
        <v>2.6</v>
      </c>
      <c r="AC15" s="19">
        <f t="shared" ref="AC15:AD15" si="50">O31</f>
        <v>375.9</v>
      </c>
      <c r="AD15" s="19">
        <f t="shared" si="50"/>
        <v>2.6</v>
      </c>
      <c r="AE15" s="43">
        <f t="shared" ref="AE15:AF15" si="51">O46</f>
        <v>364.2</v>
      </c>
      <c r="AF15" s="1">
        <f t="shared" si="51"/>
        <v>2.5</v>
      </c>
      <c r="AG15" s="19">
        <f t="shared" ref="AG15:AH15" si="52">O56</f>
        <v>271.60000000000002</v>
      </c>
      <c r="AH15" s="19">
        <f t="shared" si="52"/>
        <v>2.2000000000000002</v>
      </c>
      <c r="AZ15" s="1">
        <f t="shared" si="14"/>
        <v>-20</v>
      </c>
      <c r="BA15" s="1">
        <f t="shared" si="19"/>
        <v>0.862991251215109</v>
      </c>
      <c r="BB15" s="1">
        <f t="shared" si="20"/>
        <v>7.6871129346215211E-3</v>
      </c>
      <c r="BC15" s="1">
        <f t="shared" si="25"/>
        <v>0.95459932279909698</v>
      </c>
      <c r="BD15" s="1">
        <f t="shared" si="26"/>
        <v>8.7243078098191186E-3</v>
      </c>
      <c r="BE15" s="1">
        <f t="shared" si="35"/>
        <v>1.0087245533859575</v>
      </c>
      <c r="BF15" s="1">
        <f t="shared" si="36"/>
        <v>9.4072436661355764E-3</v>
      </c>
      <c r="BG15" s="1">
        <f t="shared" si="46"/>
        <v>1.0328959878303858</v>
      </c>
      <c r="BH15" s="1">
        <f t="shared" si="47"/>
        <v>1.1335922134843092E-2</v>
      </c>
      <c r="BR15" s="1">
        <f t="shared" si="15"/>
        <v>-20</v>
      </c>
      <c r="BS15" s="1">
        <f t="shared" ref="BS15:BX15" si="53">ROUND(BA15,4)</f>
        <v>0.86299999999999999</v>
      </c>
      <c r="BT15" s="50">
        <f t="shared" si="53"/>
        <v>7.7000000000000002E-3</v>
      </c>
      <c r="BU15" s="50">
        <f t="shared" si="53"/>
        <v>0.9546</v>
      </c>
      <c r="BV15" s="50">
        <f t="shared" si="53"/>
        <v>8.6999999999999994E-3</v>
      </c>
      <c r="BW15" s="50">
        <f t="shared" si="53"/>
        <v>1.0086999999999999</v>
      </c>
      <c r="BX15" s="50">
        <f t="shared" si="53"/>
        <v>9.4000000000000004E-3</v>
      </c>
      <c r="BY15" s="47">
        <f t="shared" ref="BY15:BZ15" si="54">ROUND(BG15,3)</f>
        <v>1.0329999999999999</v>
      </c>
      <c r="BZ15" s="47">
        <f t="shared" si="54"/>
        <v>1.0999999999999999E-2</v>
      </c>
      <c r="CA15" s="47"/>
      <c r="CB15" s="47"/>
      <c r="CC15" s="47"/>
      <c r="CD15" s="47"/>
      <c r="CE15" s="47"/>
      <c r="CF15" s="47"/>
      <c r="CG15" s="47"/>
      <c r="CH15" s="47"/>
    </row>
    <row r="16" spans="1:87">
      <c r="D16" s="45">
        <v>-15</v>
      </c>
      <c r="E16" s="45">
        <v>17538</v>
      </c>
      <c r="F16" s="45">
        <f t="shared" si="3"/>
        <v>132</v>
      </c>
      <c r="G16" s="45">
        <v>22359</v>
      </c>
      <c r="H16" s="45">
        <f t="shared" si="4"/>
        <v>150</v>
      </c>
      <c r="I16" s="45">
        <v>85</v>
      </c>
      <c r="J16" s="45">
        <f t="shared" si="5"/>
        <v>9</v>
      </c>
      <c r="L16" s="1">
        <f t="shared" si="6"/>
        <v>292.3</v>
      </c>
      <c r="M16" s="1">
        <f t="shared" si="7"/>
        <v>2.2000000000000002</v>
      </c>
      <c r="N16" s="42">
        <v>1</v>
      </c>
      <c r="O16" s="19">
        <f t="shared" si="8"/>
        <v>372.7</v>
      </c>
      <c r="P16" s="19">
        <f t="shared" si="9"/>
        <v>2.6</v>
      </c>
      <c r="Q16" s="44">
        <v>1</v>
      </c>
      <c r="R16" s="1">
        <f t="shared" si="10"/>
        <v>1.42</v>
      </c>
      <c r="S16" s="36">
        <f t="shared" si="11"/>
        <v>0.15</v>
      </c>
      <c r="T16" s="42">
        <v>2</v>
      </c>
      <c r="U16" s="45">
        <f t="shared" si="1"/>
        <v>-15</v>
      </c>
      <c r="Z16" s="1">
        <f t="shared" si="2"/>
        <v>-15</v>
      </c>
      <c r="AA16" s="42">
        <f t="shared" ref="AA16:AB16" si="55">O16</f>
        <v>372.7</v>
      </c>
      <c r="AB16" s="42">
        <f t="shared" si="55"/>
        <v>2.6</v>
      </c>
      <c r="AC16" s="26">
        <f t="shared" ref="AC16:AD16" si="56">O32</f>
        <v>363</v>
      </c>
      <c r="AD16" s="19">
        <f t="shared" si="56"/>
        <v>2.5</v>
      </c>
      <c r="AE16" s="43">
        <f t="shared" ref="AE16:AF16" si="57">O47</f>
        <v>352.8</v>
      </c>
      <c r="AF16" s="1">
        <f t="shared" si="57"/>
        <v>2.5</v>
      </c>
      <c r="AG16" s="19">
        <f t="shared" ref="AG16:AH16" si="58">O57</f>
        <v>270.8</v>
      </c>
      <c r="AH16" s="19">
        <f t="shared" si="58"/>
        <v>2.2000000000000002</v>
      </c>
      <c r="AZ16" s="1">
        <f t="shared" si="14"/>
        <v>-15</v>
      </c>
      <c r="BA16" s="1">
        <f t="shared" si="19"/>
        <v>0.82810720733231491</v>
      </c>
      <c r="BB16" s="1">
        <f t="shared" si="20"/>
        <v>7.6099008878185003E-3</v>
      </c>
      <c r="BC16" s="1">
        <f t="shared" si="25"/>
        <v>0.92183972911963885</v>
      </c>
      <c r="BD16" s="1">
        <f t="shared" si="26"/>
        <v>8.3975492052434722E-3</v>
      </c>
      <c r="BE16" s="1">
        <f t="shared" si="35"/>
        <v>0.97714997922725388</v>
      </c>
      <c r="BF16" s="1">
        <f t="shared" si="36"/>
        <v>9.3295222427495616E-3</v>
      </c>
      <c r="BG16" s="1">
        <f t="shared" si="46"/>
        <v>1.0298535843316219</v>
      </c>
      <c r="BH16" s="1">
        <f t="shared" si="47"/>
        <v>1.1327176000783468E-2</v>
      </c>
      <c r="BR16" s="1">
        <f t="shared" si="15"/>
        <v>-15</v>
      </c>
      <c r="BS16" s="1">
        <f t="shared" ref="BS16:BX16" si="59">ROUND(BA16,4)</f>
        <v>0.82809999999999995</v>
      </c>
      <c r="BT16" s="1">
        <f t="shared" si="59"/>
        <v>7.6E-3</v>
      </c>
      <c r="BU16" s="1">
        <f t="shared" si="59"/>
        <v>0.92179999999999995</v>
      </c>
      <c r="BV16" s="1">
        <f t="shared" si="59"/>
        <v>8.3999999999999995E-3</v>
      </c>
      <c r="BW16" s="50">
        <f t="shared" si="59"/>
        <v>0.97709999999999997</v>
      </c>
      <c r="BX16" s="50">
        <f t="shared" si="59"/>
        <v>9.2999999999999992E-3</v>
      </c>
      <c r="BY16" s="47">
        <f t="shared" ref="BY16:BZ16" si="60">ROUND(BG16,3)</f>
        <v>1.03</v>
      </c>
      <c r="BZ16" s="47">
        <f t="shared" si="60"/>
        <v>1.0999999999999999E-2</v>
      </c>
      <c r="CA16" s="47"/>
      <c r="CB16" s="47"/>
      <c r="CC16" s="47"/>
      <c r="CD16" s="47"/>
      <c r="CE16" s="47"/>
      <c r="CF16" s="47"/>
      <c r="CG16" s="47"/>
      <c r="CH16" s="47"/>
    </row>
    <row r="17" spans="1:86">
      <c r="D17" s="45">
        <v>-10</v>
      </c>
      <c r="E17" s="45">
        <v>17412</v>
      </c>
      <c r="F17" s="45">
        <f t="shared" si="3"/>
        <v>132</v>
      </c>
      <c r="G17" s="45">
        <v>20940</v>
      </c>
      <c r="H17" s="45">
        <f t="shared" si="4"/>
        <v>145</v>
      </c>
      <c r="I17" s="45">
        <v>38</v>
      </c>
      <c r="J17" s="45">
        <f t="shared" si="5"/>
        <v>6</v>
      </c>
      <c r="L17" s="1">
        <f t="shared" si="6"/>
        <v>290.2</v>
      </c>
      <c r="M17" s="1">
        <f t="shared" si="7"/>
        <v>2.2000000000000002</v>
      </c>
      <c r="N17" s="42">
        <v>1</v>
      </c>
      <c r="O17" s="26">
        <f t="shared" si="8"/>
        <v>349</v>
      </c>
      <c r="P17" s="19">
        <f t="shared" si="9"/>
        <v>2.5</v>
      </c>
      <c r="Q17" s="44">
        <v>1</v>
      </c>
      <c r="R17" s="1">
        <f t="shared" si="10"/>
        <v>0.63</v>
      </c>
      <c r="S17" s="36">
        <f t="shared" si="11"/>
        <v>0.1</v>
      </c>
      <c r="T17" s="42">
        <v>2</v>
      </c>
      <c r="U17" s="45">
        <f t="shared" si="1"/>
        <v>-10</v>
      </c>
      <c r="Z17" s="1">
        <f t="shared" si="2"/>
        <v>-10</v>
      </c>
      <c r="AA17" s="48">
        <f t="shared" ref="AA17:AB17" si="61">O17</f>
        <v>349</v>
      </c>
      <c r="AB17" s="42">
        <f t="shared" si="61"/>
        <v>2.5</v>
      </c>
      <c r="AC17" s="19">
        <f t="shared" ref="AC17:AD17" si="62">O33</f>
        <v>346.2</v>
      </c>
      <c r="AD17" s="19">
        <f t="shared" si="62"/>
        <v>2.5</v>
      </c>
      <c r="AE17" s="43">
        <f t="shared" ref="AE17:AF17" si="63">O48</f>
        <v>344</v>
      </c>
      <c r="AF17" s="1">
        <f t="shared" si="63"/>
        <v>2.5</v>
      </c>
      <c r="AG17" s="19">
        <f t="shared" ref="AG17:AH17" si="64">O58</f>
        <v>260.7</v>
      </c>
      <c r="AH17" s="19">
        <f t="shared" si="64"/>
        <v>2.1</v>
      </c>
      <c r="AI17" s="1">
        <f t="shared" ref="AI17:AJ17" si="65">O67</f>
        <v>251.6</v>
      </c>
      <c r="AJ17" s="1">
        <f t="shared" si="65"/>
        <v>2.1</v>
      </c>
      <c r="AZ17" s="1">
        <f t="shared" si="14"/>
        <v>-10</v>
      </c>
      <c r="BC17" s="1">
        <f t="shared" si="25"/>
        <v>0.87917607223476302</v>
      </c>
      <c r="BD17" s="1">
        <f t="shared" si="26"/>
        <v>8.3027291379269424E-3</v>
      </c>
      <c r="BE17" s="1">
        <f t="shared" si="35"/>
        <v>0.95277662373632455</v>
      </c>
      <c r="BF17" s="1">
        <f t="shared" si="36"/>
        <v>9.2695267580305343E-3</v>
      </c>
      <c r="BG17" s="1">
        <f t="shared" si="46"/>
        <v>0.99144324015972596</v>
      </c>
      <c r="BH17" s="1">
        <f t="shared" si="47"/>
        <v>1.0836455620935223E-2</v>
      </c>
      <c r="BI17" s="1">
        <f t="shared" ref="BI17:BI24" si="66">AI17/AI$3</f>
        <v>0.95479341587211231</v>
      </c>
      <c r="BJ17" s="1">
        <f t="shared" ref="BJ17:BJ24" si="67">ABS(AJ17/AI$3) +ABS(AI17*AJ$3/AI$3/AI$3)</f>
        <v>1.0708189871795094E-2</v>
      </c>
      <c r="BR17" s="1">
        <f t="shared" si="15"/>
        <v>-10</v>
      </c>
      <c r="BU17" s="1">
        <f t="shared" ref="BU17:CB17" si="68">ROUND(BC17,4)</f>
        <v>0.87919999999999998</v>
      </c>
      <c r="BV17" s="50">
        <f t="shared" si="68"/>
        <v>8.3000000000000001E-3</v>
      </c>
      <c r="BW17" s="1">
        <f t="shared" si="68"/>
        <v>0.95279999999999998</v>
      </c>
      <c r="BX17" s="1">
        <f t="shared" si="68"/>
        <v>9.2999999999999992E-3</v>
      </c>
      <c r="BY17" s="50">
        <f t="shared" si="68"/>
        <v>0.99139999999999995</v>
      </c>
      <c r="BZ17" s="50">
        <f t="shared" si="68"/>
        <v>1.0800000000000001E-2</v>
      </c>
      <c r="CA17" s="50">
        <f t="shared" si="68"/>
        <v>0.95479999999999998</v>
      </c>
      <c r="CB17" s="50">
        <f t="shared" si="68"/>
        <v>1.0699999999999999E-2</v>
      </c>
      <c r="CC17" s="47"/>
      <c r="CD17" s="47"/>
      <c r="CE17" s="47"/>
      <c r="CF17" s="47"/>
      <c r="CG17" s="47"/>
      <c r="CH17" s="47"/>
    </row>
    <row r="18" spans="1:86">
      <c r="D18" s="45">
        <v>-5</v>
      </c>
      <c r="E18" s="45">
        <v>17593</v>
      </c>
      <c r="F18" s="45">
        <f t="shared" si="3"/>
        <v>133</v>
      </c>
      <c r="G18" s="45">
        <v>19850</v>
      </c>
      <c r="H18" s="45">
        <f t="shared" si="4"/>
        <v>141</v>
      </c>
      <c r="I18" s="45">
        <v>33</v>
      </c>
      <c r="J18" s="45">
        <f t="shared" si="5"/>
        <v>6</v>
      </c>
      <c r="L18" s="1">
        <f t="shared" si="6"/>
        <v>293.2</v>
      </c>
      <c r="M18" s="1">
        <f t="shared" si="7"/>
        <v>2.2999999999999998</v>
      </c>
      <c r="N18" s="42">
        <v>1</v>
      </c>
      <c r="O18" s="19">
        <f t="shared" si="8"/>
        <v>330.8</v>
      </c>
      <c r="P18" s="19">
        <f t="shared" si="9"/>
        <v>2.4</v>
      </c>
      <c r="Q18" s="44">
        <v>1</v>
      </c>
      <c r="R18" s="1">
        <f t="shared" si="10"/>
        <v>0.55000000000000004</v>
      </c>
      <c r="S18" s="36">
        <f t="shared" si="11"/>
        <v>0.1</v>
      </c>
      <c r="T18" s="42">
        <v>2</v>
      </c>
      <c r="U18" s="45">
        <f t="shared" si="1"/>
        <v>-5</v>
      </c>
      <c r="Z18" s="1">
        <f t="shared" si="2"/>
        <v>-5</v>
      </c>
      <c r="AA18" s="42">
        <f t="shared" ref="AA18:AB18" si="69">O18</f>
        <v>330.8</v>
      </c>
      <c r="AB18" s="42">
        <f t="shared" si="69"/>
        <v>2.4</v>
      </c>
      <c r="AC18" s="19">
        <f t="shared" ref="AC18:AD18" si="70">O34</f>
        <v>336.4</v>
      </c>
      <c r="AD18" s="19">
        <f t="shared" si="70"/>
        <v>2.4</v>
      </c>
      <c r="AE18" s="43">
        <f t="shared" ref="AE18:AF18" si="71">O49</f>
        <v>341.4</v>
      </c>
      <c r="AF18" s="1">
        <f t="shared" si="71"/>
        <v>2.4</v>
      </c>
      <c r="AG18" s="19">
        <f t="shared" ref="AG18:AH18" si="72">O59</f>
        <v>265.10000000000002</v>
      </c>
      <c r="AH18" s="19">
        <f t="shared" si="72"/>
        <v>2.1</v>
      </c>
      <c r="AI18" s="1">
        <f t="shared" ref="AI18:AJ18" si="73">O68</f>
        <v>257.89999999999998</v>
      </c>
      <c r="AJ18" s="1">
        <f t="shared" si="73"/>
        <v>2.1</v>
      </c>
      <c r="AK18" s="19">
        <f t="shared" ref="AK18:AL18" si="74">O78</f>
        <v>246.2</v>
      </c>
      <c r="AL18" s="19">
        <f t="shared" si="74"/>
        <v>2.1</v>
      </c>
      <c r="AZ18" s="1">
        <f t="shared" si="14"/>
        <v>-5</v>
      </c>
      <c r="BC18" s="1">
        <f t="shared" si="25"/>
        <v>0.85428893905191872</v>
      </c>
      <c r="BD18" s="1">
        <f t="shared" si="26"/>
        <v>7.993467093391847E-3</v>
      </c>
      <c r="BE18" s="1">
        <f t="shared" si="35"/>
        <v>0.94557540506854998</v>
      </c>
      <c r="BF18" s="1">
        <f t="shared" si="36"/>
        <v>8.9748308706029886E-3</v>
      </c>
      <c r="BG18" s="1">
        <f t="shared" si="46"/>
        <v>1.0081764594029283</v>
      </c>
      <c r="BH18" s="1">
        <f t="shared" si="47"/>
        <v>1.088455935826315E-2</v>
      </c>
      <c r="BI18" s="1">
        <f t="shared" si="66"/>
        <v>0.97870120013282103</v>
      </c>
      <c r="BJ18" s="1">
        <f t="shared" si="67"/>
        <v>1.0776771943515367E-2</v>
      </c>
      <c r="BK18" s="1">
        <f t="shared" ref="BK18:BK26" si="75">AK18/AK$3</f>
        <v>0.89672197490894379</v>
      </c>
      <c r="BL18" s="1">
        <f t="shared" ref="BL18:BL26" si="76">ABS(AL18/AK$3) +ABS(AK18*AL$3/AK$3/AK$3)</f>
        <v>1.0021203934876896E-2</v>
      </c>
      <c r="BR18" s="1">
        <f t="shared" si="15"/>
        <v>-5</v>
      </c>
      <c r="BU18" s="1">
        <f t="shared" ref="BU18:BX18" si="77">ROUND(BC18,4)</f>
        <v>0.85429999999999995</v>
      </c>
      <c r="BV18" s="1">
        <f t="shared" si="77"/>
        <v>8.0000000000000002E-3</v>
      </c>
      <c r="BW18" s="1">
        <f t="shared" si="77"/>
        <v>0.9456</v>
      </c>
      <c r="BX18" s="50">
        <f t="shared" si="77"/>
        <v>8.9999999999999993E-3</v>
      </c>
      <c r="BY18" s="47">
        <f t="shared" ref="BY18:BZ18" si="78">ROUND(BG18,3)</f>
        <v>1.008</v>
      </c>
      <c r="BZ18" s="47">
        <f t="shared" si="78"/>
        <v>1.0999999999999999E-2</v>
      </c>
      <c r="CA18" s="50">
        <f t="shared" ref="CA18:CD18" si="79">ROUND(BI18,4)</f>
        <v>0.97870000000000001</v>
      </c>
      <c r="CB18" s="50">
        <f t="shared" si="79"/>
        <v>1.0800000000000001E-2</v>
      </c>
      <c r="CC18" s="50">
        <f t="shared" si="79"/>
        <v>0.89670000000000005</v>
      </c>
      <c r="CD18" s="50">
        <f t="shared" si="79"/>
        <v>0.01</v>
      </c>
      <c r="CE18" s="47"/>
      <c r="CF18" s="47"/>
      <c r="CG18" s="47"/>
      <c r="CH18" s="47"/>
    </row>
    <row r="19" spans="1:86">
      <c r="D19" s="45">
        <v>0</v>
      </c>
      <c r="E19" s="45">
        <v>17556</v>
      </c>
      <c r="F19" s="45">
        <f t="shared" si="3"/>
        <v>132</v>
      </c>
      <c r="G19" s="45">
        <v>19074</v>
      </c>
      <c r="H19" s="45">
        <f t="shared" si="4"/>
        <v>138</v>
      </c>
      <c r="I19" s="45">
        <v>19</v>
      </c>
      <c r="J19" s="45">
        <f t="shared" si="5"/>
        <v>4</v>
      </c>
      <c r="L19" s="1">
        <f t="shared" si="6"/>
        <v>292.60000000000002</v>
      </c>
      <c r="M19" s="1">
        <f t="shared" si="7"/>
        <v>2.2000000000000002</v>
      </c>
      <c r="N19" s="42">
        <v>1</v>
      </c>
      <c r="O19" s="19">
        <f t="shared" si="8"/>
        <v>317.89999999999998</v>
      </c>
      <c r="P19" s="19">
        <f t="shared" si="9"/>
        <v>2.4</v>
      </c>
      <c r="Q19" s="44">
        <v>1</v>
      </c>
      <c r="R19" s="1">
        <f t="shared" si="10"/>
        <v>0.32</v>
      </c>
      <c r="S19" s="1">
        <f t="shared" si="11"/>
        <v>7.0000000000000007E-2</v>
      </c>
      <c r="T19" s="42">
        <v>2</v>
      </c>
      <c r="U19" s="45">
        <f t="shared" si="1"/>
        <v>0</v>
      </c>
      <c r="Z19" s="1">
        <f t="shared" si="2"/>
        <v>0</v>
      </c>
      <c r="AA19" s="42">
        <f t="shared" ref="AA19:AB19" si="80">O19</f>
        <v>317.89999999999998</v>
      </c>
      <c r="AB19" s="42">
        <f t="shared" si="80"/>
        <v>2.4</v>
      </c>
      <c r="AC19" s="26">
        <f t="shared" ref="AC19:AD19" si="81">O35</f>
        <v>324</v>
      </c>
      <c r="AD19" s="19">
        <f t="shared" si="81"/>
        <v>2.4</v>
      </c>
      <c r="AE19" s="43">
        <f t="shared" ref="AE19:AF19" si="82">O50</f>
        <v>331.4</v>
      </c>
      <c r="AF19" s="1">
        <f t="shared" si="82"/>
        <v>2.4</v>
      </c>
      <c r="AG19" s="19">
        <f t="shared" ref="AG19:AH19" si="83">O60</f>
        <v>256.10000000000002</v>
      </c>
      <c r="AH19" s="19">
        <f t="shared" si="83"/>
        <v>2.1</v>
      </c>
      <c r="AI19" s="1">
        <f t="shared" ref="AI19:AJ19" si="84">O69</f>
        <v>256.60000000000002</v>
      </c>
      <c r="AJ19" s="1">
        <f t="shared" si="84"/>
        <v>2.1</v>
      </c>
      <c r="AK19" s="19">
        <f t="shared" ref="AK19:AL19" si="85">O79</f>
        <v>256.10000000000002</v>
      </c>
      <c r="AL19" s="19">
        <f t="shared" si="85"/>
        <v>2.1</v>
      </c>
      <c r="AM19" s="1">
        <f t="shared" ref="AM19:AN19" si="86">O91</f>
        <v>247.4</v>
      </c>
      <c r="AN19" s="1">
        <f t="shared" si="86"/>
        <v>2.1</v>
      </c>
      <c r="AO19" s="19">
        <f t="shared" ref="AO19:AP19" si="87">O103</f>
        <v>236.6</v>
      </c>
      <c r="AP19" s="26">
        <f t="shared" si="87"/>
        <v>2</v>
      </c>
      <c r="AZ19" s="1">
        <f t="shared" si="14"/>
        <v>0</v>
      </c>
      <c r="BE19" s="1">
        <f t="shared" si="35"/>
        <v>0.91787841019249405</v>
      </c>
      <c r="BF19" s="1">
        <f t="shared" si="36"/>
        <v>8.9066541834222756E-3</v>
      </c>
      <c r="BG19" s="1">
        <f t="shared" si="46"/>
        <v>0.97394942004183294</v>
      </c>
      <c r="BH19" s="1">
        <f t="shared" si="47"/>
        <v>1.0786165350092391E-2</v>
      </c>
      <c r="BI19" s="1">
        <f t="shared" si="66"/>
        <v>0.97376784782505588</v>
      </c>
      <c r="BJ19" s="1">
        <f t="shared" si="67"/>
        <v>1.0762620087446105E-2</v>
      </c>
      <c r="BK19" s="1">
        <f t="shared" si="75"/>
        <v>0.9327802509105626</v>
      </c>
      <c r="BL19" s="1">
        <f t="shared" si="76"/>
        <v>1.0116604175948715E-2</v>
      </c>
      <c r="BM19" s="1">
        <f t="shared" ref="BM19:BM29" si="88">AM19/AM$3</f>
        <v>0.83174913658730409</v>
      </c>
      <c r="BN19" s="1">
        <f t="shared" ref="BN19:BN29" si="89">ABS(AN19/AM$3) +ABS(AM19*AN$3/AM$3/AM$3)</f>
        <v>8.9796967679135632E-3</v>
      </c>
      <c r="BO19" s="1">
        <f t="shared" ref="BO19:BO30" si="90">AO19/AO$3</f>
        <v>0.75073375816388577</v>
      </c>
      <c r="BP19" s="1">
        <f t="shared" ref="BP19:BP30" si="91">ABS(AP19/AO$3) +ABS(AO19*AP$3/AO$3/AO$3)</f>
        <v>7.9512255031879212E-3</v>
      </c>
      <c r="BR19" s="1">
        <f t="shared" si="15"/>
        <v>0</v>
      </c>
      <c r="BW19" s="1">
        <f t="shared" ref="BW19:CH19" si="92">ROUND(BE19,4)</f>
        <v>0.91790000000000005</v>
      </c>
      <c r="BX19" s="1">
        <f t="shared" si="92"/>
        <v>8.8999999999999999E-3</v>
      </c>
      <c r="BY19" s="50">
        <f t="shared" si="92"/>
        <v>0.97389999999999999</v>
      </c>
      <c r="BZ19" s="50">
        <f t="shared" si="92"/>
        <v>1.0800000000000001E-2</v>
      </c>
      <c r="CA19" s="50">
        <f t="shared" si="92"/>
        <v>0.9738</v>
      </c>
      <c r="CB19" s="50">
        <f t="shared" si="92"/>
        <v>1.0800000000000001E-2</v>
      </c>
      <c r="CC19" s="50">
        <f t="shared" si="92"/>
        <v>0.93279999999999996</v>
      </c>
      <c r="CD19" s="50">
        <f t="shared" si="92"/>
        <v>1.01E-2</v>
      </c>
      <c r="CE19" s="50">
        <f t="shared" si="92"/>
        <v>0.83169999999999999</v>
      </c>
      <c r="CF19" s="50">
        <f t="shared" si="92"/>
        <v>8.9999999999999993E-3</v>
      </c>
      <c r="CG19" s="50">
        <f t="shared" si="92"/>
        <v>0.75070000000000003</v>
      </c>
      <c r="CH19" s="50">
        <f t="shared" si="92"/>
        <v>8.0000000000000002E-3</v>
      </c>
    </row>
    <row r="20" spans="1:86">
      <c r="D20" s="45">
        <v>5</v>
      </c>
      <c r="E20" s="45">
        <v>17264</v>
      </c>
      <c r="F20" s="45">
        <f t="shared" si="3"/>
        <v>131</v>
      </c>
      <c r="G20" s="45">
        <v>18178</v>
      </c>
      <c r="H20" s="45">
        <f t="shared" si="4"/>
        <v>135</v>
      </c>
      <c r="I20" s="45">
        <v>21</v>
      </c>
      <c r="J20" s="45">
        <f t="shared" si="5"/>
        <v>5</v>
      </c>
      <c r="L20" s="1">
        <f t="shared" si="6"/>
        <v>287.7</v>
      </c>
      <c r="M20" s="1">
        <f t="shared" si="7"/>
        <v>2.2000000000000002</v>
      </c>
      <c r="N20" s="42">
        <v>1</v>
      </c>
      <c r="O20" s="26">
        <f t="shared" si="8"/>
        <v>303</v>
      </c>
      <c r="P20" s="19">
        <f t="shared" si="9"/>
        <v>2.2999999999999998</v>
      </c>
      <c r="Q20" s="44">
        <v>1</v>
      </c>
      <c r="R20" s="1">
        <f t="shared" si="10"/>
        <v>0.35</v>
      </c>
      <c r="S20" s="1">
        <f t="shared" si="11"/>
        <v>0.08</v>
      </c>
      <c r="T20" s="42">
        <v>2</v>
      </c>
      <c r="U20" s="45">
        <f t="shared" si="1"/>
        <v>5</v>
      </c>
      <c r="Z20" s="1">
        <f t="shared" si="2"/>
        <v>5</v>
      </c>
      <c r="AA20" s="48">
        <f t="shared" ref="AA20:AB20" si="93">O20</f>
        <v>303</v>
      </c>
      <c r="AB20" s="42">
        <f t="shared" si="93"/>
        <v>2.2999999999999998</v>
      </c>
      <c r="AC20" s="26">
        <f t="shared" ref="AC20:AD20" si="94">O36</f>
        <v>312</v>
      </c>
      <c r="AD20" s="19">
        <f t="shared" si="94"/>
        <v>2.2999999999999998</v>
      </c>
      <c r="AE20" s="43">
        <f t="shared" ref="AE20:AF20" si="95">O51</f>
        <v>324.2</v>
      </c>
      <c r="AF20" s="1">
        <f t="shared" si="95"/>
        <v>2.4</v>
      </c>
      <c r="AG20" s="19">
        <f t="shared" ref="AG20:AH20" si="96">O61</f>
        <v>252.4</v>
      </c>
      <c r="AH20" s="19">
        <f t="shared" si="96"/>
        <v>2.1</v>
      </c>
      <c r="AI20" s="1">
        <f t="shared" ref="AI20:AJ20" si="97">O70</f>
        <v>262.39999999999998</v>
      </c>
      <c r="AJ20" s="1">
        <f t="shared" si="97"/>
        <v>2.1</v>
      </c>
      <c r="AK20" s="19">
        <f t="shared" ref="AK20:AL20" si="98">O80</f>
        <v>262.8</v>
      </c>
      <c r="AL20" s="19">
        <f t="shared" si="98"/>
        <v>2.1</v>
      </c>
      <c r="AM20" s="1">
        <f t="shared" ref="AM20:AN20" si="99">O92</f>
        <v>254.6</v>
      </c>
      <c r="AN20" s="1">
        <f t="shared" si="99"/>
        <v>2.1</v>
      </c>
      <c r="AO20" s="26">
        <f t="shared" ref="AO20:AP20" si="100">O104</f>
        <v>246</v>
      </c>
      <c r="AP20" s="19">
        <f t="shared" si="100"/>
        <v>2.1</v>
      </c>
      <c r="AZ20" s="1">
        <f t="shared" si="14"/>
        <v>5</v>
      </c>
      <c r="BG20" s="1">
        <f t="shared" si="46"/>
        <v>0.95987830386004924</v>
      </c>
      <c r="BH20" s="1">
        <f t="shared" si="47"/>
        <v>1.0745714480066634E-2</v>
      </c>
      <c r="BI20" s="1">
        <f t="shared" si="66"/>
        <v>0.9957781888904701</v>
      </c>
      <c r="BJ20" s="1">
        <f t="shared" si="67"/>
        <v>1.0825759137601277E-2</v>
      </c>
      <c r="BK20" s="1">
        <f t="shared" si="75"/>
        <v>0.95718332658842586</v>
      </c>
      <c r="BL20" s="1">
        <f t="shared" si="76"/>
        <v>1.0181167975461966E-2</v>
      </c>
      <c r="BM20" s="1">
        <f t="shared" si="88"/>
        <v>0.85595525535621508</v>
      </c>
      <c r="BN20" s="1">
        <f t="shared" si="89"/>
        <v>9.035561631754568E-3</v>
      </c>
      <c r="BO20" s="1">
        <f t="shared" si="90"/>
        <v>0.7805600359607604</v>
      </c>
      <c r="BP20" s="1">
        <f t="shared" si="91"/>
        <v>8.3323004818548936E-3</v>
      </c>
      <c r="BR20" s="1">
        <f t="shared" si="15"/>
        <v>5</v>
      </c>
      <c r="BY20" s="50">
        <f t="shared" ref="BY20:BZ20" si="101">ROUND(BG20,4)</f>
        <v>0.95989999999999998</v>
      </c>
      <c r="BZ20" s="50">
        <f t="shared" si="101"/>
        <v>1.0699999999999999E-2</v>
      </c>
      <c r="CA20" s="47">
        <f t="shared" ref="CA20:CD20" si="102">ROUND(BI20,3)</f>
        <v>0.996</v>
      </c>
      <c r="CB20" s="47">
        <f t="shared" si="102"/>
        <v>1.0999999999999999E-2</v>
      </c>
      <c r="CC20" s="47">
        <f t="shared" si="102"/>
        <v>0.95699999999999996</v>
      </c>
      <c r="CD20" s="47">
        <f t="shared" si="102"/>
        <v>0.01</v>
      </c>
      <c r="CE20" s="50">
        <f t="shared" ref="CE20:CH20" si="103">ROUND(BM20,4)</f>
        <v>0.85599999999999998</v>
      </c>
      <c r="CF20" s="50">
        <f t="shared" si="103"/>
        <v>8.9999999999999993E-3</v>
      </c>
      <c r="CG20" s="50">
        <f t="shared" si="103"/>
        <v>0.78059999999999996</v>
      </c>
      <c r="CH20" s="50">
        <f t="shared" si="103"/>
        <v>8.3000000000000001E-3</v>
      </c>
    </row>
    <row r="21" spans="1:86">
      <c r="D21" s="45">
        <v>10</v>
      </c>
      <c r="E21" s="45">
        <v>17225</v>
      </c>
      <c r="F21" s="45">
        <f t="shared" si="3"/>
        <v>131</v>
      </c>
      <c r="G21" s="45">
        <v>17315</v>
      </c>
      <c r="H21" s="45">
        <f t="shared" si="4"/>
        <v>132</v>
      </c>
      <c r="I21" s="45">
        <v>17</v>
      </c>
      <c r="J21" s="45">
        <f t="shared" si="5"/>
        <v>4</v>
      </c>
      <c r="L21" s="1">
        <f t="shared" si="6"/>
        <v>287.10000000000002</v>
      </c>
      <c r="M21" s="1">
        <f t="shared" si="7"/>
        <v>2.2000000000000002</v>
      </c>
      <c r="N21" s="42">
        <v>1</v>
      </c>
      <c r="O21" s="19">
        <f t="shared" si="8"/>
        <v>288.60000000000002</v>
      </c>
      <c r="P21" s="19">
        <f t="shared" si="9"/>
        <v>2.2000000000000002</v>
      </c>
      <c r="Q21" s="44">
        <v>1</v>
      </c>
      <c r="R21" s="1">
        <f t="shared" si="10"/>
        <v>0.28000000000000003</v>
      </c>
      <c r="S21" s="1">
        <f t="shared" si="11"/>
        <v>7.0000000000000007E-2</v>
      </c>
      <c r="T21" s="42">
        <v>2</v>
      </c>
      <c r="U21" s="45">
        <f t="shared" si="1"/>
        <v>10</v>
      </c>
      <c r="Z21" s="1">
        <f t="shared" si="2"/>
        <v>10</v>
      </c>
      <c r="AA21" s="42">
        <f t="shared" ref="AA21:AB21" si="104">O21</f>
        <v>288.60000000000002</v>
      </c>
      <c r="AB21" s="42">
        <f t="shared" si="104"/>
        <v>2.2000000000000002</v>
      </c>
      <c r="AC21" s="19">
        <f t="shared" ref="AC21:AD21" si="105">O37</f>
        <v>298.89999999999998</v>
      </c>
      <c r="AD21" s="19">
        <f t="shared" si="105"/>
        <v>2.2999999999999998</v>
      </c>
      <c r="AE21" s="43">
        <f t="shared" ref="AE21:AF21" si="106">O52</f>
        <v>313.7</v>
      </c>
      <c r="AF21" s="1">
        <f t="shared" si="106"/>
        <v>2.2999999999999998</v>
      </c>
      <c r="AG21" s="19">
        <f t="shared" ref="AG21:AH21" si="107">O62</f>
        <v>253.3</v>
      </c>
      <c r="AH21" s="19">
        <f t="shared" si="107"/>
        <v>2.1</v>
      </c>
      <c r="AI21" s="1">
        <f t="shared" ref="AI21:AJ21" si="108">O71</f>
        <v>262.5</v>
      </c>
      <c r="AJ21" s="1">
        <f t="shared" si="108"/>
        <v>2.1</v>
      </c>
      <c r="AK21" s="19">
        <f t="shared" ref="AK21:AL21" si="109">O81</f>
        <v>264.10000000000002</v>
      </c>
      <c r="AL21" s="19">
        <f t="shared" si="109"/>
        <v>2.1</v>
      </c>
      <c r="AM21" s="1">
        <f t="shared" ref="AM21:AN21" si="110">O93</f>
        <v>265.60000000000002</v>
      </c>
      <c r="AN21" s="1">
        <f t="shared" si="110"/>
        <v>2.1</v>
      </c>
      <c r="AO21" s="19">
        <f t="shared" ref="AO21:AP21" si="111">O105</f>
        <v>261.10000000000002</v>
      </c>
      <c r="AP21" s="19">
        <f t="shared" si="111"/>
        <v>2.1</v>
      </c>
      <c r="AZ21" s="1">
        <f t="shared" si="14"/>
        <v>10</v>
      </c>
      <c r="BG21" s="1">
        <f t="shared" si="46"/>
        <v>0.96330100779615879</v>
      </c>
      <c r="BH21" s="1">
        <f t="shared" si="47"/>
        <v>1.0755553880883711E-2</v>
      </c>
      <c r="BI21" s="1">
        <f t="shared" si="66"/>
        <v>0.996157677529529</v>
      </c>
      <c r="BJ21" s="1">
        <f t="shared" si="67"/>
        <v>1.0826847741914298E-2</v>
      </c>
      <c r="BK21" s="1">
        <f t="shared" si="75"/>
        <v>0.9619182517199516</v>
      </c>
      <c r="BL21" s="1">
        <f t="shared" si="76"/>
        <v>1.0193695279845136E-2</v>
      </c>
      <c r="BM21" s="1">
        <f t="shared" si="88"/>
        <v>0.89293682569760702</v>
      </c>
      <c r="BN21" s="1">
        <f t="shared" si="89"/>
        <v>9.1209107292894356E-3</v>
      </c>
      <c r="BO21" s="1">
        <f t="shared" si="90"/>
        <v>0.82847246093233562</v>
      </c>
      <c r="BP21" s="1">
        <f t="shared" si="91"/>
        <v>8.4347461925691272E-3</v>
      </c>
      <c r="BR21" s="1">
        <f t="shared" si="15"/>
        <v>10</v>
      </c>
      <c r="BY21" s="50">
        <f t="shared" ref="BY21:BZ21" si="112">ROUND(BG21,4)</f>
        <v>0.96330000000000005</v>
      </c>
      <c r="BZ21" s="50">
        <f t="shared" si="112"/>
        <v>1.0800000000000001E-2</v>
      </c>
      <c r="CA21" s="47">
        <f t="shared" ref="CA21:CH21" si="113">ROUND(BI21,3)</f>
        <v>0.996</v>
      </c>
      <c r="CB21" s="47">
        <f t="shared" si="113"/>
        <v>1.0999999999999999E-2</v>
      </c>
      <c r="CC21" s="47">
        <f t="shared" si="113"/>
        <v>0.96199999999999997</v>
      </c>
      <c r="CD21" s="47">
        <f t="shared" si="113"/>
        <v>0.01</v>
      </c>
      <c r="CE21" s="47">
        <f t="shared" si="113"/>
        <v>0.89300000000000002</v>
      </c>
      <c r="CF21" s="47">
        <f t="shared" si="113"/>
        <v>8.9999999999999993E-3</v>
      </c>
      <c r="CG21" s="47">
        <f t="shared" si="113"/>
        <v>0.82799999999999996</v>
      </c>
      <c r="CH21" s="47">
        <f t="shared" si="113"/>
        <v>8.0000000000000002E-3</v>
      </c>
    </row>
    <row r="22" spans="1:86">
      <c r="D22" s="1">
        <v>15</v>
      </c>
      <c r="F22" s="1">
        <f t="shared" si="3"/>
        <v>0</v>
      </c>
      <c r="H22" s="1">
        <f t="shared" si="4"/>
        <v>0</v>
      </c>
      <c r="J22" s="1">
        <f t="shared" si="5"/>
        <v>0</v>
      </c>
      <c r="O22" s="19"/>
      <c r="P22" s="19"/>
      <c r="Q22" s="19"/>
      <c r="Z22" s="1">
        <f t="shared" ref="Z22:Z30" si="114">Z21+5</f>
        <v>15</v>
      </c>
      <c r="AE22" s="43">
        <f t="shared" ref="AE22:AF22" si="115">O53</f>
        <v>311.89999999999998</v>
      </c>
      <c r="AF22" s="1">
        <f t="shared" si="115"/>
        <v>2.2999999999999998</v>
      </c>
      <c r="AI22" s="43">
        <f t="shared" ref="AI22:AJ22" si="116">O72</f>
        <v>267</v>
      </c>
      <c r="AJ22" s="1">
        <f t="shared" si="116"/>
        <v>2.2000000000000002</v>
      </c>
      <c r="AK22" s="19">
        <f t="shared" ref="AK22:AL22" si="117">O82</f>
        <v>274.60000000000002</v>
      </c>
      <c r="AL22" s="19">
        <f t="shared" si="117"/>
        <v>2.2000000000000002</v>
      </c>
      <c r="AM22" s="1">
        <f t="shared" ref="AM22:AN22" si="118">O94</f>
        <v>273.60000000000002</v>
      </c>
      <c r="AN22" s="1">
        <f t="shared" si="118"/>
        <v>2.2000000000000002</v>
      </c>
      <c r="AO22" s="19">
        <f t="shared" ref="AO22:AP22" si="119">O106</f>
        <v>274.89999999999998</v>
      </c>
      <c r="AP22" s="19">
        <f t="shared" si="119"/>
        <v>2.2000000000000002</v>
      </c>
      <c r="AZ22" s="1">
        <f t="shared" si="14"/>
        <v>15</v>
      </c>
      <c r="BI22" s="1">
        <f t="shared" si="66"/>
        <v>1.0132346662871781</v>
      </c>
      <c r="BJ22" s="1">
        <f t="shared" si="67"/>
        <v>1.1255323575059074E-2</v>
      </c>
      <c r="BK22" s="1">
        <f t="shared" si="75"/>
        <v>1.0001618777822745</v>
      </c>
      <c r="BL22" s="1">
        <f t="shared" si="76"/>
        <v>1.0659102363826549E-2</v>
      </c>
      <c r="BM22" s="1">
        <f t="shared" si="88"/>
        <v>0.91983251321861925</v>
      </c>
      <c r="BN22" s="1">
        <f t="shared" si="89"/>
        <v>9.5191788942365387E-3</v>
      </c>
      <c r="BO22" s="1">
        <f t="shared" si="90"/>
        <v>0.87225997514476838</v>
      </c>
      <c r="BP22" s="1">
        <f t="shared" si="91"/>
        <v>8.845672901510445E-3</v>
      </c>
      <c r="BR22" s="1">
        <f t="shared" si="15"/>
        <v>15</v>
      </c>
      <c r="BY22" s="47"/>
      <c r="BZ22" s="47"/>
      <c r="CA22" s="47">
        <f t="shared" ref="CA22:CH22" si="120">ROUND(BI22,3)</f>
        <v>1.0129999999999999</v>
      </c>
      <c r="CB22" s="47">
        <f t="shared" si="120"/>
        <v>1.0999999999999999E-2</v>
      </c>
      <c r="CC22" s="47">
        <f t="shared" si="120"/>
        <v>1</v>
      </c>
      <c r="CD22" s="47">
        <f t="shared" si="120"/>
        <v>1.0999999999999999E-2</v>
      </c>
      <c r="CE22" s="47">
        <f t="shared" si="120"/>
        <v>0.92</v>
      </c>
      <c r="CF22" s="47">
        <f t="shared" si="120"/>
        <v>0.01</v>
      </c>
      <c r="CG22" s="47">
        <f t="shared" si="120"/>
        <v>0.872</v>
      </c>
      <c r="CH22" s="47">
        <f t="shared" si="120"/>
        <v>8.9999999999999993E-3</v>
      </c>
    </row>
    <row r="23" spans="1:86">
      <c r="D23" s="1">
        <v>20</v>
      </c>
      <c r="F23" s="1">
        <f t="shared" si="3"/>
        <v>0</v>
      </c>
      <c r="H23" s="1">
        <f t="shared" si="4"/>
        <v>0</v>
      </c>
      <c r="J23" s="1">
        <f t="shared" si="5"/>
        <v>0</v>
      </c>
      <c r="L23" s="42" t="s">
        <v>104</v>
      </c>
      <c r="M23" s="42" t="s">
        <v>44</v>
      </c>
      <c r="N23" s="42" t="s">
        <v>105</v>
      </c>
      <c r="O23" s="44" t="s">
        <v>106</v>
      </c>
      <c r="P23" s="44" t="s">
        <v>44</v>
      </c>
      <c r="Q23" s="44" t="s">
        <v>105</v>
      </c>
      <c r="R23" s="42" t="s">
        <v>107</v>
      </c>
      <c r="S23" s="42" t="s">
        <v>44</v>
      </c>
      <c r="T23" s="42" t="s">
        <v>105</v>
      </c>
      <c r="V23" s="1" t="s">
        <v>108</v>
      </c>
      <c r="W23" s="1" t="s">
        <v>44</v>
      </c>
      <c r="Z23" s="1">
        <f t="shared" si="114"/>
        <v>20</v>
      </c>
      <c r="AI23" s="1">
        <f t="shared" ref="AI23:AJ23" si="121">O73</f>
        <v>274.39999999999998</v>
      </c>
      <c r="AJ23" s="1">
        <f t="shared" si="121"/>
        <v>2.2000000000000002</v>
      </c>
      <c r="AK23" s="19">
        <f t="shared" ref="AK23:AL23" si="122">O83</f>
        <v>281.39999999999998</v>
      </c>
      <c r="AL23" s="19">
        <f t="shared" si="122"/>
        <v>2.2000000000000002</v>
      </c>
      <c r="AM23" s="1">
        <f t="shared" ref="AM23:AN23" si="123">O95</f>
        <v>284.89999999999998</v>
      </c>
      <c r="AN23" s="1">
        <f t="shared" si="123"/>
        <v>2.2000000000000002</v>
      </c>
      <c r="AO23" s="19">
        <f t="shared" ref="AO23:AP23" si="124">O107</f>
        <v>290.5</v>
      </c>
      <c r="AP23" s="19">
        <f t="shared" si="124"/>
        <v>2.2000000000000002</v>
      </c>
      <c r="AZ23" s="1">
        <f t="shared" si="14"/>
        <v>20</v>
      </c>
      <c r="BI23" s="1">
        <f t="shared" si="66"/>
        <v>1.0413168255775342</v>
      </c>
      <c r="BJ23" s="1">
        <f t="shared" si="67"/>
        <v>1.1335880294222569E-2</v>
      </c>
      <c r="BK23" s="1">
        <f t="shared" si="75"/>
        <v>1.024929178470255</v>
      </c>
      <c r="BL23" s="1">
        <f t="shared" si="76"/>
        <v>1.0724629802138504E-2</v>
      </c>
      <c r="BM23" s="1">
        <f t="shared" si="88"/>
        <v>0.95782267184204894</v>
      </c>
      <c r="BN23" s="1">
        <f t="shared" si="89"/>
        <v>9.6068556944314473E-3</v>
      </c>
      <c r="BO23" s="1">
        <f t="shared" si="90"/>
        <v>0.92175890425447515</v>
      </c>
      <c r="BP23" s="1">
        <f t="shared" si="91"/>
        <v>8.9515108543013096E-3</v>
      </c>
      <c r="BR23" s="1">
        <f t="shared" si="15"/>
        <v>20</v>
      </c>
      <c r="BY23" s="47"/>
      <c r="BZ23" s="47"/>
      <c r="CA23" s="47">
        <f t="shared" ref="CA23:CH23" si="125">ROUND(BI23,3)</f>
        <v>1.0409999999999999</v>
      </c>
      <c r="CB23" s="47">
        <f t="shared" si="125"/>
        <v>1.0999999999999999E-2</v>
      </c>
      <c r="CC23" s="47">
        <f t="shared" si="125"/>
        <v>1.0249999999999999</v>
      </c>
      <c r="CD23" s="47">
        <f t="shared" si="125"/>
        <v>1.0999999999999999E-2</v>
      </c>
      <c r="CE23" s="47">
        <f t="shared" si="125"/>
        <v>0.95799999999999996</v>
      </c>
      <c r="CF23" s="47">
        <f t="shared" si="125"/>
        <v>0.01</v>
      </c>
      <c r="CG23" s="47">
        <f t="shared" si="125"/>
        <v>0.92200000000000004</v>
      </c>
      <c r="CH23" s="47">
        <f t="shared" si="125"/>
        <v>8.9999999999999993E-3</v>
      </c>
    </row>
    <row r="24" spans="1:86">
      <c r="A24" s="21"/>
      <c r="B24" s="49"/>
      <c r="C24" s="21"/>
      <c r="D24" s="15">
        <v>-55</v>
      </c>
      <c r="E24" s="45">
        <v>17955</v>
      </c>
      <c r="F24" s="45">
        <f t="shared" si="3"/>
        <v>134</v>
      </c>
      <c r="G24" s="45">
        <v>29375</v>
      </c>
      <c r="H24" s="45">
        <f t="shared" si="4"/>
        <v>171</v>
      </c>
      <c r="I24" s="45">
        <v>26</v>
      </c>
      <c r="J24" s="45">
        <f t="shared" si="5"/>
        <v>5</v>
      </c>
      <c r="L24" s="1">
        <f t="shared" ref="L24:L37" si="126">ROUND(E24/$H$3,N24)</f>
        <v>299.3</v>
      </c>
      <c r="M24" s="1">
        <f t="shared" ref="M24:M37" si="127">ROUND(  ABS(F24/$H$3) + ABS(E24*$I$3/$H$3/$H$3),N24)</f>
        <v>2.2999999999999998</v>
      </c>
      <c r="N24" s="42">
        <v>1</v>
      </c>
      <c r="O24" s="19">
        <f t="shared" ref="O24:O37" si="128">ROUND(G24/$H$3,Q24)</f>
        <v>489.6</v>
      </c>
      <c r="P24" s="19">
        <f t="shared" ref="P24:P37" si="129">ROUND(  ABS(H24/$H$3) + ABS(G24*$I$3/$H$3/$H$3),Q24)</f>
        <v>2.9</v>
      </c>
      <c r="Q24" s="44">
        <v>1</v>
      </c>
      <c r="R24" s="1">
        <f t="shared" ref="R24:R37" si="130">ROUND(I24/$H$3,T24)</f>
        <v>0.43</v>
      </c>
      <c r="S24" s="1">
        <f t="shared" ref="S24:S37" si="131">ROUND(  ABS(J24/$H$3) + ABS(I24*$I$3/$H$3/$H$3),T24)</f>
        <v>0.08</v>
      </c>
      <c r="T24" s="42">
        <v>2</v>
      </c>
      <c r="U24" s="45">
        <f t="shared" ref="U24:U37" si="132">D24</f>
        <v>-55</v>
      </c>
      <c r="V24" s="1">
        <f>AVERAGE(L24:L37)</f>
        <v>296.30714285714282</v>
      </c>
      <c r="W24" s="1">
        <f>SQRT(SUMSQ(M24:M37)) /14</f>
        <v>0.61470085639857597</v>
      </c>
      <c r="Z24" s="1">
        <f t="shared" si="114"/>
        <v>25</v>
      </c>
      <c r="AI24" s="1">
        <f t="shared" ref="AI24:AJ24" si="133">O74</f>
        <v>275.7</v>
      </c>
      <c r="AJ24" s="1">
        <f t="shared" si="133"/>
        <v>2.2000000000000002</v>
      </c>
      <c r="AK24" s="19">
        <f t="shared" ref="AK24:AL24" si="134">O84</f>
        <v>288.8</v>
      </c>
      <c r="AL24" s="19">
        <f t="shared" si="134"/>
        <v>2.2000000000000002</v>
      </c>
      <c r="AM24" s="1">
        <f t="shared" ref="AM24:AN24" si="135">O96</f>
        <v>298.39999999999998</v>
      </c>
      <c r="AN24" s="1">
        <f t="shared" si="135"/>
        <v>2.2999999999999998</v>
      </c>
      <c r="AO24" s="19">
        <f t="shared" ref="AO24:AP24" si="136">O108</f>
        <v>304.10000000000002</v>
      </c>
      <c r="AP24" s="19">
        <f t="shared" si="136"/>
        <v>2.2999999999999998</v>
      </c>
      <c r="AZ24" s="1">
        <f t="shared" si="14"/>
        <v>25</v>
      </c>
      <c r="BI24" s="1">
        <f t="shared" si="66"/>
        <v>1.0462501778852995</v>
      </c>
      <c r="BJ24" s="1">
        <f t="shared" si="67"/>
        <v>1.1350032150291834E-2</v>
      </c>
      <c r="BK24" s="1">
        <f t="shared" si="75"/>
        <v>1.0518818292189398</v>
      </c>
      <c r="BL24" s="1">
        <f t="shared" si="76"/>
        <v>1.0795939073242692E-2</v>
      </c>
      <c r="BM24" s="1">
        <f t="shared" si="88"/>
        <v>1.0032091445337572</v>
      </c>
      <c r="BN24" s="1">
        <f t="shared" si="89"/>
        <v>1.0047798408145982E-2</v>
      </c>
      <c r="BO24" s="1">
        <f t="shared" si="90"/>
        <v>0.9649118168116555</v>
      </c>
      <c r="BP24" s="1">
        <f t="shared" si="91"/>
        <v>9.361080666411975E-3</v>
      </c>
      <c r="BR24" s="1">
        <f t="shared" si="15"/>
        <v>25</v>
      </c>
      <c r="BY24" s="47"/>
      <c r="BZ24" s="47"/>
      <c r="CA24" s="47">
        <f t="shared" ref="CA24:CH24" si="137">ROUND(BI24,3)</f>
        <v>1.046</v>
      </c>
      <c r="CB24" s="47">
        <f t="shared" si="137"/>
        <v>1.0999999999999999E-2</v>
      </c>
      <c r="CC24" s="47">
        <f t="shared" si="137"/>
        <v>1.052</v>
      </c>
      <c r="CD24" s="47">
        <f t="shared" si="137"/>
        <v>1.0999999999999999E-2</v>
      </c>
      <c r="CE24" s="47">
        <f t="shared" si="137"/>
        <v>1.0029999999999999</v>
      </c>
      <c r="CF24" s="47">
        <f t="shared" si="137"/>
        <v>0.01</v>
      </c>
      <c r="CG24" s="47">
        <f t="shared" si="137"/>
        <v>0.96499999999999997</v>
      </c>
      <c r="CH24" s="47">
        <f t="shared" si="137"/>
        <v>8.9999999999999993E-3</v>
      </c>
    </row>
    <row r="25" spans="1:86">
      <c r="A25" s="21"/>
      <c r="B25" s="49"/>
      <c r="C25" s="21"/>
      <c r="D25" s="15">
        <v>-50</v>
      </c>
      <c r="E25" s="45">
        <v>17618</v>
      </c>
      <c r="F25" s="45">
        <f t="shared" si="3"/>
        <v>133</v>
      </c>
      <c r="G25" s="45">
        <v>28416</v>
      </c>
      <c r="H25" s="45">
        <f t="shared" si="4"/>
        <v>169</v>
      </c>
      <c r="I25" s="45">
        <v>39</v>
      </c>
      <c r="J25" s="45">
        <f t="shared" si="5"/>
        <v>6</v>
      </c>
      <c r="L25" s="1">
        <f t="shared" si="126"/>
        <v>293.60000000000002</v>
      </c>
      <c r="M25" s="1">
        <f t="shared" si="127"/>
        <v>2.2999999999999998</v>
      </c>
      <c r="N25" s="42">
        <v>1</v>
      </c>
      <c r="O25" s="19">
        <f t="shared" si="128"/>
        <v>473.6</v>
      </c>
      <c r="P25" s="19">
        <f t="shared" si="129"/>
        <v>2.9</v>
      </c>
      <c r="Q25" s="44">
        <v>1</v>
      </c>
      <c r="R25" s="1">
        <f t="shared" si="130"/>
        <v>0.65</v>
      </c>
      <c r="S25" s="36">
        <f t="shared" si="131"/>
        <v>0.1</v>
      </c>
      <c r="T25" s="42">
        <v>2</v>
      </c>
      <c r="U25" s="45">
        <f t="shared" si="132"/>
        <v>-50</v>
      </c>
      <c r="V25" s="19">
        <f>ROUND(V24,W26)</f>
        <v>296.3</v>
      </c>
      <c r="W25" s="19">
        <f>ROUND(W24,W26)</f>
        <v>0.6</v>
      </c>
      <c r="Z25" s="1">
        <f t="shared" si="114"/>
        <v>30</v>
      </c>
      <c r="AK25" s="19">
        <f t="shared" ref="AK25:AL25" si="138">O85</f>
        <v>296.3</v>
      </c>
      <c r="AL25" s="19">
        <f t="shared" si="138"/>
        <v>2.2999999999999998</v>
      </c>
      <c r="AM25" s="1">
        <f t="shared" ref="AM25:AN25" si="139">O97</f>
        <v>303.60000000000002</v>
      </c>
      <c r="AN25" s="1">
        <f t="shared" si="139"/>
        <v>2.2999999999999998</v>
      </c>
      <c r="AO25" s="19">
        <f t="shared" ref="AO25:AP25" si="140">O109</f>
        <v>312.7</v>
      </c>
      <c r="AP25" s="19">
        <f t="shared" si="140"/>
        <v>2.2999999999999998</v>
      </c>
      <c r="AZ25" s="1">
        <f t="shared" si="14"/>
        <v>30</v>
      </c>
      <c r="BK25" s="1">
        <f t="shared" si="75"/>
        <v>1.0791987049777418</v>
      </c>
      <c r="BL25" s="1">
        <f t="shared" si="76"/>
        <v>1.1232436993262946E-2</v>
      </c>
      <c r="BM25" s="1">
        <f t="shared" si="88"/>
        <v>1.0206913414224152</v>
      </c>
      <c r="BN25" s="1">
        <f t="shared" si="89"/>
        <v>1.0088145254253375E-2</v>
      </c>
      <c r="BO25" s="1">
        <f t="shared" si="90"/>
        <v>0.99219968798751934</v>
      </c>
      <c r="BP25" s="1">
        <f t="shared" si="91"/>
        <v>9.4194272301300151E-3</v>
      </c>
      <c r="BR25" s="1">
        <f t="shared" si="15"/>
        <v>30</v>
      </c>
      <c r="CA25" s="47"/>
      <c r="CB25" s="47"/>
      <c r="CC25" s="47">
        <f t="shared" ref="CC25:CH25" si="141">ROUND(BK25,3)</f>
        <v>1.079</v>
      </c>
      <c r="CD25" s="47">
        <f t="shared" si="141"/>
        <v>1.0999999999999999E-2</v>
      </c>
      <c r="CE25" s="47">
        <f t="shared" si="141"/>
        <v>1.0209999999999999</v>
      </c>
      <c r="CF25" s="47">
        <f t="shared" si="141"/>
        <v>0.01</v>
      </c>
      <c r="CG25" s="47">
        <f t="shared" si="141"/>
        <v>0.99199999999999999</v>
      </c>
      <c r="CH25" s="47">
        <f t="shared" si="141"/>
        <v>8.9999999999999993E-3</v>
      </c>
    </row>
    <row r="26" spans="1:86">
      <c r="A26" s="21"/>
      <c r="B26" s="49"/>
      <c r="C26" s="21"/>
      <c r="D26" s="15">
        <v>-45</v>
      </c>
      <c r="E26" s="45">
        <v>17849</v>
      </c>
      <c r="F26" s="45">
        <f t="shared" si="3"/>
        <v>134</v>
      </c>
      <c r="G26" s="45">
        <v>27324</v>
      </c>
      <c r="H26" s="45">
        <f t="shared" si="4"/>
        <v>165</v>
      </c>
      <c r="I26" s="45">
        <v>53</v>
      </c>
      <c r="J26" s="45">
        <f t="shared" si="5"/>
        <v>7</v>
      </c>
      <c r="L26" s="1">
        <f t="shared" si="126"/>
        <v>297.5</v>
      </c>
      <c r="M26" s="1">
        <f t="shared" si="127"/>
        <v>2.2999999999999998</v>
      </c>
      <c r="N26" s="42">
        <v>1</v>
      </c>
      <c r="O26" s="19">
        <f t="shared" si="128"/>
        <v>455.4</v>
      </c>
      <c r="P26" s="19">
        <f t="shared" si="129"/>
        <v>2.8</v>
      </c>
      <c r="Q26" s="44">
        <v>1</v>
      </c>
      <c r="R26" s="1">
        <f t="shared" si="130"/>
        <v>0.88</v>
      </c>
      <c r="S26" s="1">
        <f t="shared" si="131"/>
        <v>0.12</v>
      </c>
      <c r="T26" s="42">
        <v>2</v>
      </c>
      <c r="U26" s="45">
        <f t="shared" si="132"/>
        <v>-45</v>
      </c>
      <c r="V26" s="1" t="s">
        <v>117</v>
      </c>
      <c r="W26" s="1">
        <v>1</v>
      </c>
      <c r="Z26" s="1">
        <f t="shared" si="114"/>
        <v>35</v>
      </c>
      <c r="AK26" s="19">
        <f t="shared" ref="AK26:AL26" si="142">O86</f>
        <v>300.7</v>
      </c>
      <c r="AL26" s="19">
        <f t="shared" si="142"/>
        <v>2.2999999999999998</v>
      </c>
      <c r="AM26" s="1">
        <f t="shared" ref="AM26:AN26" si="143">O98</f>
        <v>317.89999999999998</v>
      </c>
      <c r="AN26" s="1">
        <f t="shared" si="143"/>
        <v>2.4</v>
      </c>
      <c r="AO26" s="19">
        <f t="shared" ref="AO26:AP26" si="144">O110</f>
        <v>333.4</v>
      </c>
      <c r="AP26" s="19">
        <f t="shared" si="144"/>
        <v>2.4</v>
      </c>
      <c r="AZ26" s="1">
        <f t="shared" si="14"/>
        <v>35</v>
      </c>
      <c r="BK26" s="1">
        <f t="shared" si="75"/>
        <v>1.0952246054229058</v>
      </c>
      <c r="BL26" s="1">
        <f t="shared" si="76"/>
        <v>1.1274837100405976E-2</v>
      </c>
      <c r="BM26" s="1">
        <f t="shared" si="88"/>
        <v>1.0687673828662245</v>
      </c>
      <c r="BN26" s="1">
        <f t="shared" si="89"/>
        <v>1.0535295175061356E-2</v>
      </c>
      <c r="BO26" s="1">
        <f t="shared" si="90"/>
        <v>1.0578809593061687</v>
      </c>
      <c r="BP26" s="1">
        <f t="shared" si="91"/>
        <v>9.8771668797288312E-3</v>
      </c>
      <c r="BR26" s="1">
        <f t="shared" si="15"/>
        <v>35</v>
      </c>
      <c r="CA26" s="47"/>
      <c r="CB26" s="47"/>
      <c r="CC26" s="47">
        <f t="shared" ref="CC26:CH26" si="145">ROUND(BK26,3)</f>
        <v>1.095</v>
      </c>
      <c r="CD26" s="47">
        <f t="shared" si="145"/>
        <v>1.0999999999999999E-2</v>
      </c>
      <c r="CE26" s="47">
        <f t="shared" si="145"/>
        <v>1.069</v>
      </c>
      <c r="CF26" s="47">
        <f t="shared" si="145"/>
        <v>1.0999999999999999E-2</v>
      </c>
      <c r="CG26" s="47">
        <f t="shared" si="145"/>
        <v>1.0580000000000001</v>
      </c>
      <c r="CH26" s="47">
        <f t="shared" si="145"/>
        <v>0.01</v>
      </c>
    </row>
    <row r="27" spans="1:86">
      <c r="A27" s="21"/>
      <c r="B27" s="49"/>
      <c r="C27" s="21"/>
      <c r="D27" s="15">
        <v>-40</v>
      </c>
      <c r="E27" s="45">
        <v>17734</v>
      </c>
      <c r="F27" s="45">
        <f t="shared" si="3"/>
        <v>133</v>
      </c>
      <c r="G27" s="45">
        <v>26244</v>
      </c>
      <c r="H27" s="45">
        <f t="shared" si="4"/>
        <v>162</v>
      </c>
      <c r="I27" s="45">
        <v>128</v>
      </c>
      <c r="J27" s="45">
        <f t="shared" si="5"/>
        <v>11</v>
      </c>
      <c r="L27" s="1">
        <f t="shared" si="126"/>
        <v>295.60000000000002</v>
      </c>
      <c r="M27" s="1">
        <f t="shared" si="127"/>
        <v>2.2999999999999998</v>
      </c>
      <c r="N27" s="42">
        <v>1</v>
      </c>
      <c r="O27" s="19">
        <f t="shared" si="128"/>
        <v>437.4</v>
      </c>
      <c r="P27" s="19">
        <f t="shared" si="129"/>
        <v>2.8</v>
      </c>
      <c r="Q27" s="44">
        <v>1</v>
      </c>
      <c r="R27" s="1">
        <f t="shared" si="130"/>
        <v>2.13</v>
      </c>
      <c r="S27" s="1">
        <f t="shared" si="131"/>
        <v>0.18</v>
      </c>
      <c r="T27" s="42">
        <v>2</v>
      </c>
      <c r="U27" s="45">
        <f t="shared" si="132"/>
        <v>-40</v>
      </c>
      <c r="Z27" s="1">
        <f t="shared" si="114"/>
        <v>40</v>
      </c>
      <c r="AM27" s="1">
        <f t="shared" ref="AM27:AN27" si="146">O99</f>
        <v>328.1</v>
      </c>
      <c r="AN27" s="1">
        <f t="shared" si="146"/>
        <v>2.4</v>
      </c>
      <c r="AO27" s="19">
        <f t="shared" ref="AO27:AP27" si="147">O111</f>
        <v>354.9</v>
      </c>
      <c r="AP27" s="19">
        <f t="shared" si="147"/>
        <v>2.5</v>
      </c>
      <c r="AZ27" s="1">
        <f t="shared" si="14"/>
        <v>40</v>
      </c>
      <c r="BM27" s="1">
        <f t="shared" si="88"/>
        <v>1.1030593844555152</v>
      </c>
      <c r="BN27" s="1">
        <f t="shared" si="89"/>
        <v>1.0614437065502779E-2</v>
      </c>
      <c r="BO27" s="1">
        <f t="shared" si="90"/>
        <v>1.1261006372458287</v>
      </c>
      <c r="BP27" s="1">
        <f t="shared" si="91"/>
        <v>1.0340334116650255E-2</v>
      </c>
      <c r="BR27" s="1">
        <f t="shared" si="15"/>
        <v>40</v>
      </c>
      <c r="CA27" s="47"/>
      <c r="CB27" s="47"/>
      <c r="CC27" s="47"/>
      <c r="CD27" s="47"/>
      <c r="CE27" s="47">
        <f t="shared" ref="CE27:CH27" si="148">ROUND(BM27,3)</f>
        <v>1.103</v>
      </c>
      <c r="CF27" s="47">
        <f t="shared" si="148"/>
        <v>1.0999999999999999E-2</v>
      </c>
      <c r="CG27" s="47">
        <f t="shared" si="148"/>
        <v>1.1259999999999999</v>
      </c>
      <c r="CH27" s="47">
        <f t="shared" si="148"/>
        <v>0.01</v>
      </c>
    </row>
    <row r="28" spans="1:86">
      <c r="A28" s="21"/>
      <c r="B28" s="49"/>
      <c r="C28" s="21"/>
      <c r="D28" s="15">
        <v>-35</v>
      </c>
      <c r="E28" s="45">
        <v>17655</v>
      </c>
      <c r="F28" s="45">
        <f t="shared" si="3"/>
        <v>133</v>
      </c>
      <c r="G28" s="45">
        <v>25393</v>
      </c>
      <c r="H28" s="45">
        <f t="shared" si="4"/>
        <v>159</v>
      </c>
      <c r="I28" s="45">
        <v>1067</v>
      </c>
      <c r="J28" s="45">
        <f t="shared" si="5"/>
        <v>33</v>
      </c>
      <c r="L28" s="1">
        <f t="shared" si="126"/>
        <v>294.3</v>
      </c>
      <c r="M28" s="1">
        <f t="shared" si="127"/>
        <v>2.2999999999999998</v>
      </c>
      <c r="N28" s="42">
        <v>1</v>
      </c>
      <c r="O28" s="19">
        <f t="shared" si="128"/>
        <v>423.2</v>
      </c>
      <c r="P28" s="19">
        <f t="shared" si="129"/>
        <v>2.7</v>
      </c>
      <c r="Q28" s="44">
        <v>1</v>
      </c>
      <c r="R28" s="1">
        <f t="shared" si="130"/>
        <v>17.78</v>
      </c>
      <c r="S28" s="1">
        <f t="shared" si="131"/>
        <v>0.55000000000000004</v>
      </c>
      <c r="T28" s="42">
        <v>2</v>
      </c>
      <c r="U28" s="45">
        <f t="shared" si="132"/>
        <v>-35</v>
      </c>
      <c r="Z28" s="1">
        <f t="shared" si="114"/>
        <v>45</v>
      </c>
      <c r="AM28" s="1">
        <f t="shared" ref="AM28:AN28" si="149">O100</f>
        <v>342.6</v>
      </c>
      <c r="AN28" s="1">
        <f t="shared" si="149"/>
        <v>2.4</v>
      </c>
      <c r="AO28" s="19">
        <f t="shared" ref="AO28:AP28" si="150">O112</f>
        <v>369.8</v>
      </c>
      <c r="AP28" s="19">
        <f t="shared" si="150"/>
        <v>2.5</v>
      </c>
      <c r="AZ28" s="1">
        <f t="shared" si="14"/>
        <v>45</v>
      </c>
      <c r="BM28" s="1">
        <f t="shared" si="88"/>
        <v>1.1518078180873499</v>
      </c>
      <c r="BN28" s="1">
        <f t="shared" si="89"/>
        <v>1.0726942694071468E-2</v>
      </c>
      <c r="BO28" s="1">
        <f t="shared" si="90"/>
        <v>1.1733784605621513</v>
      </c>
      <c r="BP28" s="1">
        <f t="shared" si="91"/>
        <v>1.0441422930533835E-2</v>
      </c>
      <c r="BR28" s="1">
        <f t="shared" si="15"/>
        <v>45</v>
      </c>
      <c r="CC28" s="47"/>
      <c r="CD28" s="47"/>
      <c r="CE28" s="47">
        <f t="shared" ref="CE28:CH28" si="151">ROUND(BM28,3)</f>
        <v>1.1519999999999999</v>
      </c>
      <c r="CF28" s="47">
        <f t="shared" si="151"/>
        <v>1.0999999999999999E-2</v>
      </c>
      <c r="CG28" s="47">
        <f t="shared" si="151"/>
        <v>1.173</v>
      </c>
      <c r="CH28" s="47">
        <f t="shared" si="151"/>
        <v>0.01</v>
      </c>
    </row>
    <row r="29" spans="1:86">
      <c r="A29" s="21"/>
      <c r="B29" s="49"/>
      <c r="C29" s="21"/>
      <c r="D29" s="15">
        <v>-30</v>
      </c>
      <c r="E29" s="45">
        <v>18047</v>
      </c>
      <c r="F29" s="45">
        <f t="shared" si="3"/>
        <v>134</v>
      </c>
      <c r="G29" s="45">
        <v>24493</v>
      </c>
      <c r="H29" s="45">
        <f t="shared" si="4"/>
        <v>157</v>
      </c>
      <c r="I29" s="45">
        <v>3247</v>
      </c>
      <c r="J29" s="45">
        <f t="shared" si="5"/>
        <v>57</v>
      </c>
      <c r="L29" s="1">
        <f t="shared" si="126"/>
        <v>300.8</v>
      </c>
      <c r="M29" s="1">
        <f t="shared" si="127"/>
        <v>2.2999999999999998</v>
      </c>
      <c r="N29" s="42">
        <v>1</v>
      </c>
      <c r="O29" s="19">
        <f t="shared" si="128"/>
        <v>408.2</v>
      </c>
      <c r="P29" s="19">
        <f t="shared" si="129"/>
        <v>2.7</v>
      </c>
      <c r="Q29" s="44">
        <v>1</v>
      </c>
      <c r="R29" s="1">
        <f t="shared" si="130"/>
        <v>54.12</v>
      </c>
      <c r="S29" s="1">
        <f t="shared" si="131"/>
        <v>0.96</v>
      </c>
      <c r="T29" s="42">
        <v>2</v>
      </c>
      <c r="U29" s="45">
        <f t="shared" si="132"/>
        <v>-30</v>
      </c>
      <c r="Z29" s="1">
        <f t="shared" si="114"/>
        <v>50</v>
      </c>
      <c r="AM29" s="1">
        <f t="shared" ref="AM29:AN29" si="152">O101</f>
        <v>355.2</v>
      </c>
      <c r="AN29" s="1">
        <f t="shared" si="152"/>
        <v>2.5</v>
      </c>
      <c r="AO29" s="19">
        <f t="shared" ref="AO29:AP29" si="153">O113</f>
        <v>389.9</v>
      </c>
      <c r="AP29" s="19">
        <f t="shared" si="153"/>
        <v>2.6</v>
      </c>
      <c r="AZ29" s="1">
        <f t="shared" si="14"/>
        <v>50</v>
      </c>
      <c r="BM29" s="1">
        <f t="shared" si="88"/>
        <v>1.1941685259329442</v>
      </c>
      <c r="BN29" s="1">
        <f t="shared" si="89"/>
        <v>1.116090229980588E-2</v>
      </c>
      <c r="BO29" s="1">
        <f t="shared" si="90"/>
        <v>1.2371559269150425</v>
      </c>
      <c r="BP29" s="1">
        <f t="shared" si="91"/>
        <v>1.0895091889640694E-2</v>
      </c>
      <c r="BR29" s="1">
        <f t="shared" si="15"/>
        <v>50</v>
      </c>
      <c r="CC29" s="47"/>
      <c r="CD29" s="47"/>
      <c r="CE29" s="47">
        <f t="shared" ref="CE29:CH29" si="154">ROUND(BM29,3)</f>
        <v>1.194</v>
      </c>
      <c r="CF29" s="47">
        <f t="shared" si="154"/>
        <v>1.0999999999999999E-2</v>
      </c>
      <c r="CG29" s="47">
        <f t="shared" si="154"/>
        <v>1.2370000000000001</v>
      </c>
      <c r="CH29" s="47">
        <f t="shared" si="154"/>
        <v>1.0999999999999999E-2</v>
      </c>
    </row>
    <row r="30" spans="1:86">
      <c r="A30" s="21"/>
      <c r="B30" s="49"/>
      <c r="C30" s="21"/>
      <c r="D30" s="15">
        <v>-25</v>
      </c>
      <c r="E30" s="45">
        <v>17916</v>
      </c>
      <c r="F30" s="45">
        <f t="shared" si="3"/>
        <v>134</v>
      </c>
      <c r="G30" s="45">
        <v>23899</v>
      </c>
      <c r="H30" s="45">
        <f t="shared" si="4"/>
        <v>155</v>
      </c>
      <c r="I30" s="45">
        <v>5423</v>
      </c>
      <c r="J30" s="45">
        <f t="shared" si="5"/>
        <v>74</v>
      </c>
      <c r="K30" s="49">
        <f>0.02*I30</f>
        <v>108.46000000000001</v>
      </c>
      <c r="L30" s="1">
        <f t="shared" si="126"/>
        <v>298.60000000000002</v>
      </c>
      <c r="M30" s="1">
        <f t="shared" si="127"/>
        <v>2.2999999999999998</v>
      </c>
      <c r="N30" s="42">
        <v>1</v>
      </c>
      <c r="O30" s="19">
        <f t="shared" si="128"/>
        <v>398.3</v>
      </c>
      <c r="P30" s="19">
        <f t="shared" si="129"/>
        <v>2.6</v>
      </c>
      <c r="Q30" s="44">
        <v>1</v>
      </c>
      <c r="R30" s="1">
        <f t="shared" si="130"/>
        <v>90.4</v>
      </c>
      <c r="S30" s="1">
        <f t="shared" si="131"/>
        <v>1.2</v>
      </c>
      <c r="T30" s="42">
        <v>1</v>
      </c>
      <c r="U30" s="45">
        <f t="shared" si="132"/>
        <v>-25</v>
      </c>
      <c r="Z30" s="1">
        <f t="shared" si="114"/>
        <v>55</v>
      </c>
      <c r="AO30" s="26">
        <f t="shared" ref="AO30:AP30" si="155">O114</f>
        <v>408</v>
      </c>
      <c r="AP30" s="19">
        <f t="shared" si="155"/>
        <v>2.7</v>
      </c>
      <c r="AZ30" s="1">
        <f t="shared" si="14"/>
        <v>55</v>
      </c>
      <c r="BO30" s="1">
        <f t="shared" si="90"/>
        <v>1.2945873767154075</v>
      </c>
      <c r="BP30" s="1">
        <f t="shared" si="91"/>
        <v>1.1335191880441036E-2</v>
      </c>
      <c r="BR30" s="1">
        <f t="shared" si="15"/>
        <v>55</v>
      </c>
      <c r="CC30" s="47"/>
      <c r="CD30" s="47"/>
      <c r="CE30" s="47"/>
      <c r="CF30" s="47"/>
      <c r="CG30" s="47">
        <f t="shared" ref="CG30:CH30" si="156">ROUND(BO30,3)</f>
        <v>1.2949999999999999</v>
      </c>
      <c r="CH30" s="47">
        <f t="shared" si="156"/>
        <v>1.0999999999999999E-2</v>
      </c>
    </row>
    <row r="31" spans="1:86">
      <c r="A31" s="21">
        <v>-3.75</v>
      </c>
      <c r="B31" s="49">
        <v>-3</v>
      </c>
      <c r="C31" s="21">
        <v>0.05</v>
      </c>
      <c r="D31" s="15">
        <v>-20</v>
      </c>
      <c r="E31" s="45">
        <v>17653</v>
      </c>
      <c r="F31" s="45">
        <f t="shared" si="3"/>
        <v>133</v>
      </c>
      <c r="G31" s="45">
        <v>22552</v>
      </c>
      <c r="H31" s="45">
        <f t="shared" si="4"/>
        <v>150</v>
      </c>
      <c r="I31" s="45">
        <v>4814</v>
      </c>
      <c r="J31" s="45">
        <f t="shared" si="5"/>
        <v>69</v>
      </c>
      <c r="L31" s="1">
        <f t="shared" si="126"/>
        <v>294.2</v>
      </c>
      <c r="M31" s="1">
        <f t="shared" si="127"/>
        <v>2.2999999999999998</v>
      </c>
      <c r="N31" s="42">
        <v>1</v>
      </c>
      <c r="O31" s="19">
        <f t="shared" si="128"/>
        <v>375.9</v>
      </c>
      <c r="P31" s="19">
        <f t="shared" si="129"/>
        <v>2.6</v>
      </c>
      <c r="Q31" s="44">
        <v>1</v>
      </c>
      <c r="R31" s="1">
        <f t="shared" si="130"/>
        <v>80.2</v>
      </c>
      <c r="S31" s="1">
        <f t="shared" si="131"/>
        <v>1.2</v>
      </c>
      <c r="T31" s="42">
        <v>1</v>
      </c>
      <c r="U31" s="45">
        <f t="shared" si="132"/>
        <v>-20</v>
      </c>
    </row>
    <row r="32" spans="1:86">
      <c r="A32" s="21"/>
      <c r="B32" s="21"/>
      <c r="C32" s="21"/>
      <c r="D32" s="15">
        <v>-15</v>
      </c>
      <c r="E32" s="45">
        <v>17836</v>
      </c>
      <c r="F32" s="45">
        <f t="shared" si="3"/>
        <v>134</v>
      </c>
      <c r="G32" s="45">
        <v>21782</v>
      </c>
      <c r="H32" s="45">
        <f t="shared" si="4"/>
        <v>148</v>
      </c>
      <c r="I32" s="45">
        <v>2343</v>
      </c>
      <c r="J32" s="45">
        <f t="shared" si="5"/>
        <v>48</v>
      </c>
      <c r="L32" s="1">
        <f t="shared" si="126"/>
        <v>297.3</v>
      </c>
      <c r="M32" s="1">
        <f t="shared" si="127"/>
        <v>2.2999999999999998</v>
      </c>
      <c r="N32" s="42">
        <v>1</v>
      </c>
      <c r="O32" s="26">
        <f t="shared" si="128"/>
        <v>363</v>
      </c>
      <c r="P32" s="19">
        <f t="shared" si="129"/>
        <v>2.5</v>
      </c>
      <c r="Q32" s="44">
        <v>1</v>
      </c>
      <c r="R32" s="1">
        <f t="shared" si="130"/>
        <v>39.049999999999997</v>
      </c>
      <c r="S32" s="1">
        <f t="shared" si="131"/>
        <v>0.81</v>
      </c>
      <c r="T32" s="42">
        <v>2</v>
      </c>
      <c r="U32" s="45">
        <f t="shared" si="132"/>
        <v>-15</v>
      </c>
      <c r="Z32" s="51" t="s">
        <v>118</v>
      </c>
      <c r="AA32" s="52" t="s">
        <v>119</v>
      </c>
      <c r="AB32" s="52" t="s">
        <v>44</v>
      </c>
      <c r="AC32" s="52" t="s">
        <v>120</v>
      </c>
      <c r="AD32" s="52" t="s">
        <v>44</v>
      </c>
      <c r="AE32" s="52" t="s">
        <v>121</v>
      </c>
      <c r="AF32" s="52" t="s">
        <v>44</v>
      </c>
      <c r="AG32" s="51" t="s">
        <v>122</v>
      </c>
      <c r="AH32" s="51" t="s">
        <v>44</v>
      </c>
      <c r="AI32" s="51" t="s">
        <v>123</v>
      </c>
      <c r="AJ32" s="51" t="s">
        <v>44</v>
      </c>
      <c r="AK32" s="51" t="s">
        <v>124</v>
      </c>
      <c r="AL32" s="51" t="s">
        <v>44</v>
      </c>
      <c r="AM32" s="51" t="s">
        <v>125</v>
      </c>
      <c r="AN32" s="51" t="s">
        <v>44</v>
      </c>
      <c r="AO32" s="51" t="s">
        <v>126</v>
      </c>
      <c r="AP32" s="51" t="s">
        <v>44</v>
      </c>
    </row>
    <row r="33" spans="1:42">
      <c r="A33" s="21"/>
      <c r="B33" s="21"/>
      <c r="C33" s="21"/>
      <c r="D33" s="15">
        <v>-10</v>
      </c>
      <c r="E33" s="45">
        <v>17786</v>
      </c>
      <c r="F33" s="45">
        <f t="shared" si="3"/>
        <v>133</v>
      </c>
      <c r="G33" s="45">
        <v>20774</v>
      </c>
      <c r="H33" s="45">
        <f t="shared" si="4"/>
        <v>144</v>
      </c>
      <c r="I33" s="45">
        <v>382</v>
      </c>
      <c r="J33" s="45">
        <f t="shared" si="5"/>
        <v>20</v>
      </c>
      <c r="L33" s="1">
        <f t="shared" si="126"/>
        <v>296.39999999999998</v>
      </c>
      <c r="M33" s="1">
        <f t="shared" si="127"/>
        <v>2.2999999999999998</v>
      </c>
      <c r="N33" s="42">
        <v>1</v>
      </c>
      <c r="O33" s="19">
        <f t="shared" si="128"/>
        <v>346.2</v>
      </c>
      <c r="P33" s="19">
        <f t="shared" si="129"/>
        <v>2.5</v>
      </c>
      <c r="Q33" s="44">
        <v>1</v>
      </c>
      <c r="R33" s="1">
        <f t="shared" si="130"/>
        <v>6.37</v>
      </c>
      <c r="S33" s="1">
        <f t="shared" si="131"/>
        <v>0.33</v>
      </c>
      <c r="T33" s="42">
        <v>2</v>
      </c>
      <c r="U33" s="45">
        <f t="shared" si="132"/>
        <v>-10</v>
      </c>
      <c r="Z33" s="53">
        <v>-55</v>
      </c>
      <c r="AA33" s="53">
        <f t="shared" ref="AA33:AB33" si="157">R8</f>
        <v>0.57999999999999996</v>
      </c>
      <c r="AB33" s="54">
        <f t="shared" si="157"/>
        <v>0.1</v>
      </c>
      <c r="AC33" s="55">
        <f t="shared" ref="AC33:AD33" si="158">R24</f>
        <v>0.43</v>
      </c>
      <c r="AD33" s="55">
        <f t="shared" si="158"/>
        <v>0.08</v>
      </c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</row>
    <row r="34" spans="1:42">
      <c r="A34" s="21"/>
      <c r="B34" s="21"/>
      <c r="C34" s="21"/>
      <c r="D34" s="15">
        <v>-5</v>
      </c>
      <c r="E34" s="45">
        <v>17820</v>
      </c>
      <c r="F34" s="45">
        <f t="shared" si="3"/>
        <v>133</v>
      </c>
      <c r="G34" s="45">
        <v>20183</v>
      </c>
      <c r="H34" s="45">
        <f t="shared" si="4"/>
        <v>142</v>
      </c>
      <c r="I34" s="45">
        <v>50</v>
      </c>
      <c r="J34" s="45">
        <f t="shared" si="5"/>
        <v>7</v>
      </c>
      <c r="K34" s="36"/>
      <c r="L34" s="43">
        <f t="shared" si="126"/>
        <v>297</v>
      </c>
      <c r="M34" s="1">
        <f t="shared" si="127"/>
        <v>2.2999999999999998</v>
      </c>
      <c r="N34" s="42">
        <v>1</v>
      </c>
      <c r="O34" s="19">
        <f t="shared" si="128"/>
        <v>336.4</v>
      </c>
      <c r="P34" s="19">
        <f t="shared" si="129"/>
        <v>2.4</v>
      </c>
      <c r="Q34" s="44">
        <v>1</v>
      </c>
      <c r="R34" s="1">
        <f t="shared" si="130"/>
        <v>0.83</v>
      </c>
      <c r="S34" s="1">
        <f t="shared" si="131"/>
        <v>0.12</v>
      </c>
      <c r="T34" s="42">
        <v>2</v>
      </c>
      <c r="U34" s="45">
        <f t="shared" si="132"/>
        <v>-5</v>
      </c>
      <c r="Z34" s="57">
        <f t="shared" ref="Z34:Z55" si="159">Z33+5</f>
        <v>-50</v>
      </c>
      <c r="AA34" s="58">
        <f t="shared" ref="AA34:AB34" si="160">R9</f>
        <v>1.6</v>
      </c>
      <c r="AB34" s="53">
        <f t="shared" si="160"/>
        <v>0.2</v>
      </c>
      <c r="AC34" s="55">
        <f t="shared" ref="AC34:AD34" si="161">R25</f>
        <v>0.65</v>
      </c>
      <c r="AD34" s="59">
        <f t="shared" si="161"/>
        <v>0.1</v>
      </c>
      <c r="AE34" s="60">
        <f t="shared" ref="AE34:AF34" si="162">R40</f>
        <v>0.35</v>
      </c>
      <c r="AF34" s="60">
        <f t="shared" si="162"/>
        <v>0.08</v>
      </c>
      <c r="AG34" s="56"/>
      <c r="AH34" s="56"/>
      <c r="AI34" s="56"/>
      <c r="AJ34" s="56"/>
      <c r="AK34" s="56"/>
      <c r="AL34" s="56"/>
      <c r="AM34" s="56"/>
      <c r="AN34" s="56"/>
      <c r="AO34" s="56"/>
      <c r="AP34" s="56"/>
    </row>
    <row r="35" spans="1:42">
      <c r="A35" s="21"/>
      <c r="B35" s="21"/>
      <c r="C35" s="21"/>
      <c r="D35" s="15">
        <v>0</v>
      </c>
      <c r="E35" s="45">
        <v>17728</v>
      </c>
      <c r="F35" s="45">
        <f t="shared" si="3"/>
        <v>133</v>
      </c>
      <c r="G35" s="45">
        <v>19438</v>
      </c>
      <c r="H35" s="45">
        <f t="shared" si="4"/>
        <v>139</v>
      </c>
      <c r="I35" s="45">
        <v>40</v>
      </c>
      <c r="J35" s="45">
        <f t="shared" si="5"/>
        <v>6</v>
      </c>
      <c r="L35" s="1">
        <f t="shared" si="126"/>
        <v>295.5</v>
      </c>
      <c r="M35" s="1">
        <f t="shared" si="127"/>
        <v>2.2999999999999998</v>
      </c>
      <c r="N35" s="42">
        <v>1</v>
      </c>
      <c r="O35" s="26">
        <f t="shared" si="128"/>
        <v>324</v>
      </c>
      <c r="P35" s="19">
        <f t="shared" si="129"/>
        <v>2.4</v>
      </c>
      <c r="Q35" s="44">
        <v>1</v>
      </c>
      <c r="R35" s="1">
        <f t="shared" si="130"/>
        <v>0.67</v>
      </c>
      <c r="S35" s="36">
        <f t="shared" si="131"/>
        <v>0.1</v>
      </c>
      <c r="T35" s="42">
        <v>2</v>
      </c>
      <c r="U35" s="45">
        <f t="shared" si="132"/>
        <v>0</v>
      </c>
      <c r="Z35" s="57">
        <f t="shared" si="159"/>
        <v>-45</v>
      </c>
      <c r="AA35" s="53">
        <f t="shared" ref="AA35:AB35" si="163">R10</f>
        <v>9.2799999999999994</v>
      </c>
      <c r="AB35" s="54">
        <f t="shared" si="163"/>
        <v>0.4</v>
      </c>
      <c r="AC35" s="55">
        <f t="shared" ref="AC35:AD35" si="164">R26</f>
        <v>0.88</v>
      </c>
      <c r="AD35" s="55">
        <f t="shared" si="164"/>
        <v>0.12</v>
      </c>
      <c r="AE35" s="60">
        <f t="shared" ref="AE35:AF35" si="165">R41</f>
        <v>0.52</v>
      </c>
      <c r="AF35" s="60">
        <f t="shared" si="165"/>
        <v>0.1</v>
      </c>
      <c r="AG35" s="56"/>
      <c r="AH35" s="56"/>
      <c r="AI35" s="56"/>
      <c r="AJ35" s="56"/>
      <c r="AK35" s="56"/>
      <c r="AL35" s="56"/>
      <c r="AM35" s="56"/>
      <c r="AN35" s="56"/>
      <c r="AO35" s="56"/>
      <c r="AP35" s="56"/>
    </row>
    <row r="36" spans="1:42">
      <c r="A36" s="21"/>
      <c r="B36" s="21"/>
      <c r="C36" s="21"/>
      <c r="D36" s="15">
        <v>5</v>
      </c>
      <c r="E36" s="45">
        <v>17710</v>
      </c>
      <c r="F36" s="45">
        <f t="shared" si="3"/>
        <v>133</v>
      </c>
      <c r="G36" s="45">
        <v>18720</v>
      </c>
      <c r="H36" s="45">
        <f t="shared" si="4"/>
        <v>137</v>
      </c>
      <c r="I36" s="45">
        <v>38</v>
      </c>
      <c r="J36" s="45">
        <f t="shared" si="5"/>
        <v>6</v>
      </c>
      <c r="L36" s="1">
        <f t="shared" si="126"/>
        <v>295.2</v>
      </c>
      <c r="M36" s="1">
        <f t="shared" si="127"/>
        <v>2.2999999999999998</v>
      </c>
      <c r="N36" s="42">
        <v>1</v>
      </c>
      <c r="O36" s="26">
        <f t="shared" si="128"/>
        <v>312</v>
      </c>
      <c r="P36" s="19">
        <f t="shared" si="129"/>
        <v>2.2999999999999998</v>
      </c>
      <c r="Q36" s="44">
        <v>1</v>
      </c>
      <c r="R36" s="1">
        <f t="shared" si="130"/>
        <v>0.63</v>
      </c>
      <c r="S36" s="36">
        <f t="shared" si="131"/>
        <v>0.1</v>
      </c>
      <c r="T36" s="42">
        <v>2</v>
      </c>
      <c r="U36" s="45">
        <f t="shared" si="132"/>
        <v>5</v>
      </c>
      <c r="Z36" s="57">
        <f t="shared" si="159"/>
        <v>-40</v>
      </c>
      <c r="AA36" s="54">
        <f t="shared" ref="AA36:AB36" si="166">R11</f>
        <v>46.9</v>
      </c>
      <c r="AB36" s="53">
        <f t="shared" si="166"/>
        <v>0.89</v>
      </c>
      <c r="AC36" s="55">
        <f t="shared" ref="AC36:AD36" si="167">R27</f>
        <v>2.13</v>
      </c>
      <c r="AD36" s="55">
        <f t="shared" si="167"/>
        <v>0.18</v>
      </c>
      <c r="AE36" s="60">
        <f t="shared" ref="AE36:AF36" si="168">R42</f>
        <v>0.85</v>
      </c>
      <c r="AF36" s="60">
        <f t="shared" si="168"/>
        <v>0.12</v>
      </c>
      <c r="AG36" s="56"/>
      <c r="AH36" s="56"/>
      <c r="AI36" s="56"/>
      <c r="AJ36" s="56"/>
      <c r="AK36" s="56"/>
      <c r="AL36" s="56"/>
      <c r="AM36" s="56"/>
      <c r="AN36" s="56"/>
      <c r="AO36" s="56"/>
      <c r="AP36" s="56"/>
    </row>
    <row r="37" spans="1:42">
      <c r="A37" s="21"/>
      <c r="B37" s="21"/>
      <c r="C37" s="21"/>
      <c r="D37" s="15">
        <v>10</v>
      </c>
      <c r="E37" s="45">
        <v>17579</v>
      </c>
      <c r="F37" s="45">
        <f t="shared" si="3"/>
        <v>133</v>
      </c>
      <c r="G37" s="45">
        <v>17936</v>
      </c>
      <c r="H37" s="45">
        <f t="shared" si="4"/>
        <v>134</v>
      </c>
      <c r="I37" s="45">
        <v>16</v>
      </c>
      <c r="J37" s="45">
        <f t="shared" si="5"/>
        <v>4</v>
      </c>
      <c r="L37" s="43">
        <f t="shared" si="126"/>
        <v>293</v>
      </c>
      <c r="M37" s="1">
        <f t="shared" si="127"/>
        <v>2.2999999999999998</v>
      </c>
      <c r="N37" s="42">
        <v>1</v>
      </c>
      <c r="O37" s="19">
        <f t="shared" si="128"/>
        <v>298.89999999999998</v>
      </c>
      <c r="P37" s="19">
        <f t="shared" si="129"/>
        <v>2.2999999999999998</v>
      </c>
      <c r="Q37" s="44">
        <v>1</v>
      </c>
      <c r="R37" s="1">
        <f t="shared" si="130"/>
        <v>0.27</v>
      </c>
      <c r="S37" s="1">
        <f t="shared" si="131"/>
        <v>7.0000000000000007E-2</v>
      </c>
      <c r="T37" s="42">
        <v>2</v>
      </c>
      <c r="U37" s="45">
        <f t="shared" si="132"/>
        <v>10</v>
      </c>
      <c r="Z37" s="57">
        <f t="shared" si="159"/>
        <v>-35</v>
      </c>
      <c r="AA37" s="53">
        <f t="shared" ref="AA37:AB37" si="169">R12</f>
        <v>83.7</v>
      </c>
      <c r="AB37" s="58">
        <f t="shared" si="169"/>
        <v>1.2</v>
      </c>
      <c r="AC37" s="55">
        <f t="shared" ref="AC37:AD37" si="170">R28</f>
        <v>17.78</v>
      </c>
      <c r="AD37" s="55">
        <f t="shared" si="170"/>
        <v>0.55000000000000004</v>
      </c>
      <c r="AE37" s="60">
        <f t="shared" ref="AE37:AF37" si="171">R43</f>
        <v>1.3</v>
      </c>
      <c r="AF37" s="60">
        <f t="shared" si="171"/>
        <v>0.2</v>
      </c>
      <c r="AG37" s="56"/>
      <c r="AH37" s="56"/>
      <c r="AI37" s="56"/>
      <c r="AJ37" s="56"/>
      <c r="AK37" s="56"/>
      <c r="AL37" s="56"/>
      <c r="AM37" s="56"/>
      <c r="AN37" s="56"/>
      <c r="AO37" s="56"/>
      <c r="AP37" s="56"/>
    </row>
    <row r="38" spans="1:42">
      <c r="A38" s="21"/>
      <c r="B38" s="21"/>
      <c r="C38" s="21"/>
      <c r="D38" s="15">
        <v>15</v>
      </c>
      <c r="E38" s="21"/>
      <c r="F38" s="1">
        <f t="shared" si="3"/>
        <v>0</v>
      </c>
      <c r="G38" s="21"/>
      <c r="H38" s="1">
        <f t="shared" si="4"/>
        <v>0</v>
      </c>
      <c r="I38" s="21"/>
      <c r="J38" s="1">
        <f t="shared" si="5"/>
        <v>0</v>
      </c>
      <c r="O38" s="19"/>
      <c r="P38" s="19"/>
      <c r="Q38" s="19"/>
      <c r="Z38" s="57">
        <f t="shared" si="159"/>
        <v>-30</v>
      </c>
      <c r="AA38" s="53">
        <f t="shared" ref="AA38:AB38" si="172">R13</f>
        <v>100.4</v>
      </c>
      <c r="AB38" s="53">
        <f t="shared" si="172"/>
        <v>1.3</v>
      </c>
      <c r="AC38" s="55">
        <f t="shared" ref="AC38:AD38" si="173">R29</f>
        <v>54.12</v>
      </c>
      <c r="AD38" s="55">
        <f t="shared" si="173"/>
        <v>0.96</v>
      </c>
      <c r="AE38" s="60">
        <f t="shared" ref="AE38:AF38" si="174">R44</f>
        <v>4.28</v>
      </c>
      <c r="AF38" s="60">
        <f t="shared" si="174"/>
        <v>0.27</v>
      </c>
      <c r="AG38" s="56"/>
      <c r="AH38" s="56"/>
      <c r="AI38" s="56"/>
      <c r="AJ38" s="56"/>
      <c r="AK38" s="56"/>
      <c r="AL38" s="56"/>
      <c r="AM38" s="56"/>
      <c r="AN38" s="56"/>
      <c r="AO38" s="56"/>
      <c r="AP38" s="56"/>
    </row>
    <row r="39" spans="1:42">
      <c r="A39" s="21"/>
      <c r="B39" s="21"/>
      <c r="C39" s="21"/>
      <c r="D39" s="15">
        <v>20</v>
      </c>
      <c r="E39" s="21"/>
      <c r="F39" s="1">
        <f t="shared" si="3"/>
        <v>0</v>
      </c>
      <c r="G39" s="21"/>
      <c r="H39" s="1">
        <f t="shared" si="4"/>
        <v>0</v>
      </c>
      <c r="I39" s="21"/>
      <c r="J39" s="1">
        <f t="shared" si="5"/>
        <v>0</v>
      </c>
      <c r="K39" s="56"/>
      <c r="L39" s="42" t="s">
        <v>104</v>
      </c>
      <c r="M39" s="42" t="s">
        <v>44</v>
      </c>
      <c r="N39" s="42" t="s">
        <v>105</v>
      </c>
      <c r="O39" s="44" t="s">
        <v>106</v>
      </c>
      <c r="P39" s="44" t="s">
        <v>44</v>
      </c>
      <c r="Q39" s="44" t="s">
        <v>105</v>
      </c>
      <c r="R39" s="42" t="s">
        <v>107</v>
      </c>
      <c r="S39" s="42" t="s">
        <v>44</v>
      </c>
      <c r="T39" s="42" t="s">
        <v>105</v>
      </c>
      <c r="V39" s="1" t="s">
        <v>108</v>
      </c>
      <c r="W39" s="1" t="s">
        <v>44</v>
      </c>
      <c r="Z39" s="57">
        <f t="shared" si="159"/>
        <v>-25</v>
      </c>
      <c r="AA39" s="53">
        <f t="shared" ref="AA39:AB39" si="175">R14</f>
        <v>62.6</v>
      </c>
      <c r="AB39" s="58">
        <f t="shared" si="175"/>
        <v>1</v>
      </c>
      <c r="AC39" s="55">
        <f t="shared" ref="AC39:AD39" si="176">R30</f>
        <v>90.4</v>
      </c>
      <c r="AD39" s="55">
        <f t="shared" si="176"/>
        <v>1.2</v>
      </c>
      <c r="AE39" s="60">
        <f t="shared" ref="AE39:AF39" si="177">R45</f>
        <v>30.03</v>
      </c>
      <c r="AF39" s="60">
        <f t="shared" si="177"/>
        <v>0.71</v>
      </c>
      <c r="AG39" s="55">
        <f t="shared" ref="AG39:AH39" si="178">R55</f>
        <v>0.57999999999999996</v>
      </c>
      <c r="AH39" s="55">
        <f t="shared" si="178"/>
        <v>0.1</v>
      </c>
      <c r="AI39" s="56"/>
      <c r="AJ39" s="56"/>
      <c r="AK39" s="56"/>
      <c r="AL39" s="56"/>
      <c r="AM39" s="56"/>
      <c r="AN39" s="56"/>
      <c r="AO39" s="56"/>
      <c r="AP39" s="56"/>
    </row>
    <row r="40" spans="1:42">
      <c r="A40" s="1"/>
      <c r="B40" s="36"/>
      <c r="C40" s="1"/>
      <c r="D40" s="1">
        <v>-50</v>
      </c>
      <c r="E40" s="1">
        <v>18271</v>
      </c>
      <c r="F40" s="45">
        <f t="shared" si="3"/>
        <v>135</v>
      </c>
      <c r="G40" s="1">
        <v>25315</v>
      </c>
      <c r="H40" s="45">
        <f t="shared" si="4"/>
        <v>159</v>
      </c>
      <c r="I40" s="1">
        <v>21</v>
      </c>
      <c r="J40" s="45">
        <f t="shared" si="5"/>
        <v>5</v>
      </c>
      <c r="L40" s="1">
        <f t="shared" ref="L40:L53" si="179">ROUND(E40/$H$3,N40)</f>
        <v>304.5</v>
      </c>
      <c r="M40" s="1">
        <f t="shared" ref="M40:M53" si="180">ROUND(  ABS(F40/$H$3) + ABS(E40*$I$3/$H$3/$H$3),N40)</f>
        <v>2.2999999999999998</v>
      </c>
      <c r="N40" s="42">
        <v>1</v>
      </c>
      <c r="O40" s="26">
        <f t="shared" ref="O40:O53" si="181">ROUND(G40/$H$3,Q40)</f>
        <v>421.9</v>
      </c>
      <c r="P40" s="19">
        <f t="shared" ref="P40:P53" si="182">ROUND(  ABS(H40/$H$3) + ABS(G40*$I$3/$H$3/$H$3),Q40)</f>
        <v>2.7</v>
      </c>
      <c r="Q40" s="44">
        <v>1</v>
      </c>
      <c r="R40" s="1">
        <f t="shared" ref="R40:R53" si="183">ROUND(I40/$H$3,T40)</f>
        <v>0.35</v>
      </c>
      <c r="S40" s="1">
        <f t="shared" ref="S40:S53" si="184">ROUND(  ABS(J40/$H$3) + ABS(I40*$I$3/$H$3/$H$3),T40)</f>
        <v>0.08</v>
      </c>
      <c r="T40" s="42">
        <v>2</v>
      </c>
      <c r="U40" s="45">
        <f t="shared" ref="U40:U53" si="185">D40</f>
        <v>-50</v>
      </c>
      <c r="V40" s="1">
        <f>AVERAGE(L40:L53)</f>
        <v>303.28571428571428</v>
      </c>
      <c r="W40" s="1">
        <f>SQRT(SUMSQ(M40:M53)) /14</f>
        <v>0.61470085639857597</v>
      </c>
      <c r="Z40" s="57">
        <f t="shared" si="159"/>
        <v>-20</v>
      </c>
      <c r="AA40" s="53">
        <f t="shared" ref="AA40:AB40" si="186">R15</f>
        <v>20.37</v>
      </c>
      <c r="AB40" s="53">
        <f t="shared" si="186"/>
        <v>0.59</v>
      </c>
      <c r="AC40" s="55">
        <f t="shared" ref="AC40:AD40" si="187">R31</f>
        <v>80.2</v>
      </c>
      <c r="AD40" s="55">
        <f t="shared" si="187"/>
        <v>1.2</v>
      </c>
      <c r="AE40" s="60">
        <f t="shared" ref="AE40:AF40" si="188">R46</f>
        <v>67.400000000000006</v>
      </c>
      <c r="AF40" s="60">
        <f t="shared" si="188"/>
        <v>1.1000000000000001</v>
      </c>
      <c r="AG40" s="61">
        <f t="shared" ref="AG40:AH40" si="189">R56</f>
        <v>1</v>
      </c>
      <c r="AH40" s="55">
        <f t="shared" si="189"/>
        <v>0.1</v>
      </c>
      <c r="AI40" s="56"/>
      <c r="AJ40" s="56"/>
      <c r="AK40" s="56"/>
      <c r="AL40" s="56"/>
      <c r="AM40" s="56"/>
      <c r="AN40" s="56"/>
      <c r="AO40" s="56"/>
      <c r="AP40" s="56"/>
    </row>
    <row r="41" spans="1:42">
      <c r="A41" s="1"/>
      <c r="B41" s="36"/>
      <c r="C41" s="1"/>
      <c r="D41" s="1">
        <v>-45</v>
      </c>
      <c r="E41" s="1">
        <v>18387</v>
      </c>
      <c r="F41" s="45">
        <f t="shared" si="3"/>
        <v>136</v>
      </c>
      <c r="G41" s="1">
        <v>24651</v>
      </c>
      <c r="H41" s="45">
        <f t="shared" si="4"/>
        <v>157</v>
      </c>
      <c r="I41" s="1">
        <v>31</v>
      </c>
      <c r="J41" s="45">
        <f t="shared" si="5"/>
        <v>6</v>
      </c>
      <c r="L41" s="1">
        <f t="shared" si="179"/>
        <v>306.5</v>
      </c>
      <c r="M41" s="1">
        <f t="shared" si="180"/>
        <v>2.2999999999999998</v>
      </c>
      <c r="N41" s="42">
        <v>1</v>
      </c>
      <c r="O41" s="26">
        <f t="shared" si="181"/>
        <v>410.9</v>
      </c>
      <c r="P41" s="19">
        <f t="shared" si="182"/>
        <v>2.7</v>
      </c>
      <c r="Q41" s="44">
        <v>1</v>
      </c>
      <c r="R41" s="1">
        <f t="shared" si="183"/>
        <v>0.52</v>
      </c>
      <c r="S41" s="36">
        <f t="shared" si="184"/>
        <v>0.1</v>
      </c>
      <c r="T41" s="42">
        <v>2</v>
      </c>
      <c r="U41" s="45">
        <f t="shared" si="185"/>
        <v>-45</v>
      </c>
      <c r="V41" s="19">
        <f>ROUND(V40,W42)</f>
        <v>303.3</v>
      </c>
      <c r="W41" s="19">
        <f>ROUND(W40,W42)</f>
        <v>0.6</v>
      </c>
      <c r="Z41" s="57">
        <f t="shared" si="159"/>
        <v>-15</v>
      </c>
      <c r="AA41" s="53">
        <f t="shared" ref="AA41:AB41" si="190">R16</f>
        <v>1.42</v>
      </c>
      <c r="AB41" s="54">
        <f t="shared" si="190"/>
        <v>0.15</v>
      </c>
      <c r="AC41" s="55">
        <f t="shared" ref="AC41:AD41" si="191">R32</f>
        <v>39.049999999999997</v>
      </c>
      <c r="AD41" s="55">
        <f t="shared" si="191"/>
        <v>0.81</v>
      </c>
      <c r="AE41" s="60">
        <f t="shared" ref="AE41:AF41" si="192">R47</f>
        <v>92.1</v>
      </c>
      <c r="AF41" s="60">
        <f t="shared" si="192"/>
        <v>1.2</v>
      </c>
      <c r="AG41" s="55">
        <f t="shared" ref="AG41:AH41" si="193">R57</f>
        <v>8.5299999999999994</v>
      </c>
      <c r="AH41" s="55">
        <f t="shared" si="193"/>
        <v>0.38</v>
      </c>
      <c r="AI41" s="56"/>
      <c r="AJ41" s="56"/>
      <c r="AK41" s="56"/>
      <c r="AL41" s="56"/>
      <c r="AM41" s="56"/>
      <c r="AN41" s="56"/>
      <c r="AO41" s="56"/>
      <c r="AP41" s="56"/>
    </row>
    <row r="42" spans="1:42">
      <c r="A42" s="1"/>
      <c r="B42" s="36"/>
      <c r="C42" s="1"/>
      <c r="D42" s="1">
        <v>-40</v>
      </c>
      <c r="E42" s="1">
        <v>18471</v>
      </c>
      <c r="F42" s="45">
        <f t="shared" si="3"/>
        <v>136</v>
      </c>
      <c r="G42" s="1">
        <v>24250</v>
      </c>
      <c r="H42" s="45">
        <f t="shared" si="4"/>
        <v>156</v>
      </c>
      <c r="I42" s="1">
        <v>51</v>
      </c>
      <c r="J42" s="45">
        <f t="shared" si="5"/>
        <v>7</v>
      </c>
      <c r="L42" s="1">
        <f t="shared" si="179"/>
        <v>307.89999999999998</v>
      </c>
      <c r="M42" s="1">
        <f t="shared" si="180"/>
        <v>2.2999999999999998</v>
      </c>
      <c r="N42" s="42">
        <v>1</v>
      </c>
      <c r="O42" s="26">
        <f t="shared" si="181"/>
        <v>404.2</v>
      </c>
      <c r="P42" s="19">
        <f t="shared" si="182"/>
        <v>2.7</v>
      </c>
      <c r="Q42" s="44">
        <v>1</v>
      </c>
      <c r="R42" s="1">
        <f t="shared" si="183"/>
        <v>0.85</v>
      </c>
      <c r="S42" s="1">
        <f t="shared" si="184"/>
        <v>0.12</v>
      </c>
      <c r="T42" s="42">
        <v>2</v>
      </c>
      <c r="U42" s="45">
        <f t="shared" si="185"/>
        <v>-40</v>
      </c>
      <c r="V42" s="1" t="s">
        <v>117</v>
      </c>
      <c r="W42" s="1">
        <v>1</v>
      </c>
      <c r="Z42" s="57">
        <f t="shared" si="159"/>
        <v>-10</v>
      </c>
      <c r="AA42" s="53">
        <f t="shared" ref="AA42:AB42" si="194">R17</f>
        <v>0.63</v>
      </c>
      <c r="AB42" s="54">
        <f t="shared" si="194"/>
        <v>0.1</v>
      </c>
      <c r="AC42" s="55">
        <f t="shared" ref="AC42:AD42" si="195">R33</f>
        <v>6.37</v>
      </c>
      <c r="AD42" s="55">
        <f t="shared" si="195"/>
        <v>0.33</v>
      </c>
      <c r="AE42" s="60">
        <f t="shared" ref="AE42:AF42" si="196">R48</f>
        <v>59.4</v>
      </c>
      <c r="AF42" s="60">
        <f t="shared" si="196"/>
        <v>1</v>
      </c>
      <c r="AG42" s="59">
        <f t="shared" ref="AG42:AH42" si="197">R58</f>
        <v>21.1</v>
      </c>
      <c r="AH42" s="59">
        <f t="shared" si="197"/>
        <v>0.6</v>
      </c>
      <c r="AI42" s="57">
        <f t="shared" ref="AI42:AJ42" si="198">R67</f>
        <v>0.53</v>
      </c>
      <c r="AJ42" s="60">
        <f t="shared" si="198"/>
        <v>0.1</v>
      </c>
      <c r="AK42" s="56"/>
      <c r="AL42" s="56"/>
      <c r="AM42" s="56"/>
      <c r="AN42" s="56"/>
      <c r="AO42" s="56"/>
      <c r="AP42" s="56"/>
    </row>
    <row r="43" spans="1:42">
      <c r="A43" s="1"/>
      <c r="B43" s="36"/>
      <c r="C43" s="1"/>
      <c r="D43" s="1">
        <v>-35</v>
      </c>
      <c r="E43" s="1">
        <v>18155</v>
      </c>
      <c r="F43" s="45">
        <f t="shared" si="3"/>
        <v>135</v>
      </c>
      <c r="G43" s="1">
        <v>23501</v>
      </c>
      <c r="H43" s="45">
        <f t="shared" si="4"/>
        <v>153</v>
      </c>
      <c r="I43" s="1">
        <v>76</v>
      </c>
      <c r="J43" s="45">
        <f t="shared" si="5"/>
        <v>9</v>
      </c>
      <c r="L43" s="1">
        <f t="shared" si="179"/>
        <v>302.60000000000002</v>
      </c>
      <c r="M43" s="1">
        <f t="shared" si="180"/>
        <v>2.2999999999999998</v>
      </c>
      <c r="N43" s="42">
        <v>1</v>
      </c>
      <c r="O43" s="26">
        <f t="shared" si="181"/>
        <v>391.7</v>
      </c>
      <c r="P43" s="19">
        <f t="shared" si="182"/>
        <v>2.6</v>
      </c>
      <c r="Q43" s="44">
        <v>1</v>
      </c>
      <c r="R43" s="1">
        <f t="shared" si="183"/>
        <v>1.3</v>
      </c>
      <c r="S43" s="1">
        <f t="shared" si="184"/>
        <v>0.2</v>
      </c>
      <c r="T43" s="42">
        <v>1</v>
      </c>
      <c r="U43" s="45">
        <f t="shared" si="185"/>
        <v>-35</v>
      </c>
      <c r="Z43" s="57">
        <f t="shared" si="159"/>
        <v>-5</v>
      </c>
      <c r="AA43" s="53">
        <f t="shared" ref="AA43:AB43" si="199">R18</f>
        <v>0.55000000000000004</v>
      </c>
      <c r="AB43" s="54">
        <f t="shared" si="199"/>
        <v>0.1</v>
      </c>
      <c r="AC43" s="55">
        <f t="shared" ref="AC43:AD43" si="200">R34</f>
        <v>0.83</v>
      </c>
      <c r="AD43" s="55">
        <f t="shared" si="200"/>
        <v>0.12</v>
      </c>
      <c r="AE43" s="60">
        <f t="shared" ref="AE43:AF43" si="201">R49</f>
        <v>20.58</v>
      </c>
      <c r="AF43" s="60">
        <f t="shared" si="201"/>
        <v>0.59</v>
      </c>
      <c r="AG43" s="55">
        <f t="shared" ref="AG43:AH43" si="202">R59</f>
        <v>40.270000000000003</v>
      </c>
      <c r="AH43" s="55">
        <f t="shared" si="202"/>
        <v>0.82</v>
      </c>
      <c r="AI43" s="57">
        <f t="shared" ref="AI43:AJ43" si="203">R68</f>
        <v>3.53</v>
      </c>
      <c r="AJ43" s="57">
        <f t="shared" si="203"/>
        <v>0.25</v>
      </c>
      <c r="AK43" s="55">
        <f t="shared" ref="AK43:AL43" si="204">R78</f>
        <v>0.38</v>
      </c>
      <c r="AL43" s="55">
        <f t="shared" si="204"/>
        <v>0.08</v>
      </c>
      <c r="AM43" s="56"/>
      <c r="AN43" s="56"/>
      <c r="AO43" s="56"/>
      <c r="AP43" s="56"/>
    </row>
    <row r="44" spans="1:42">
      <c r="A44" s="1"/>
      <c r="B44" s="36"/>
      <c r="C44" s="1"/>
      <c r="D44" s="45">
        <v>-30</v>
      </c>
      <c r="E44" s="45">
        <v>18196</v>
      </c>
      <c r="F44" s="45">
        <f t="shared" si="3"/>
        <v>135</v>
      </c>
      <c r="G44" s="45">
        <v>23065</v>
      </c>
      <c r="H44" s="45">
        <f t="shared" si="4"/>
        <v>152</v>
      </c>
      <c r="I44" s="45">
        <v>257</v>
      </c>
      <c r="J44" s="45">
        <f t="shared" si="5"/>
        <v>16</v>
      </c>
      <c r="L44" s="1">
        <f t="shared" si="179"/>
        <v>303.3</v>
      </c>
      <c r="M44" s="1">
        <f t="shared" si="180"/>
        <v>2.2999999999999998</v>
      </c>
      <c r="N44" s="42">
        <v>1</v>
      </c>
      <c r="O44" s="26">
        <f t="shared" si="181"/>
        <v>384.4</v>
      </c>
      <c r="P44" s="19">
        <f t="shared" si="182"/>
        <v>2.6</v>
      </c>
      <c r="Q44" s="44">
        <v>1</v>
      </c>
      <c r="R44" s="1">
        <f t="shared" si="183"/>
        <v>4.28</v>
      </c>
      <c r="S44" s="1">
        <f t="shared" si="184"/>
        <v>0.27</v>
      </c>
      <c r="T44" s="42">
        <v>2</v>
      </c>
      <c r="U44" s="45">
        <f t="shared" si="185"/>
        <v>-30</v>
      </c>
      <c r="Z44" s="57">
        <f t="shared" si="159"/>
        <v>0</v>
      </c>
      <c r="AA44" s="53">
        <f t="shared" ref="AA44:AB44" si="205">R19</f>
        <v>0.32</v>
      </c>
      <c r="AB44" s="53">
        <f t="shared" si="205"/>
        <v>7.0000000000000007E-2</v>
      </c>
      <c r="AC44" s="55">
        <f t="shared" ref="AC44:AD44" si="206">R35</f>
        <v>0.67</v>
      </c>
      <c r="AD44" s="59">
        <f t="shared" si="206"/>
        <v>0.1</v>
      </c>
      <c r="AE44" s="60">
        <f t="shared" ref="AE44:AF44" si="207">R50</f>
        <v>1.1000000000000001</v>
      </c>
      <c r="AF44" s="60">
        <f t="shared" si="207"/>
        <v>0.1</v>
      </c>
      <c r="AG44" s="55">
        <f t="shared" ref="AG44:AH44" si="208">R60</f>
        <v>26.03</v>
      </c>
      <c r="AH44" s="55">
        <f t="shared" si="208"/>
        <v>0.67</v>
      </c>
      <c r="AI44" s="57">
        <f t="shared" ref="AI44:AJ44" si="209">R69</f>
        <v>13.9</v>
      </c>
      <c r="AJ44" s="57">
        <f t="shared" si="209"/>
        <v>0.5</v>
      </c>
      <c r="AK44" s="55">
        <f t="shared" ref="AK44:AL44" si="210">R79</f>
        <v>0.77</v>
      </c>
      <c r="AL44" s="55">
        <f t="shared" si="210"/>
        <v>0.12</v>
      </c>
      <c r="AM44" s="57">
        <f t="shared" ref="AM44:AN44" si="211">R91</f>
        <v>0.45</v>
      </c>
      <c r="AN44" s="57">
        <f t="shared" si="211"/>
        <v>0.08</v>
      </c>
      <c r="AO44" s="55">
        <f t="shared" ref="AO44:AP44" si="212">R103</f>
        <v>0.38</v>
      </c>
      <c r="AP44" s="55">
        <f t="shared" si="212"/>
        <v>0.08</v>
      </c>
    </row>
    <row r="45" spans="1:42">
      <c r="A45" s="1"/>
      <c r="B45" s="36"/>
      <c r="C45" s="1"/>
      <c r="D45" s="45">
        <v>-25</v>
      </c>
      <c r="E45" s="45">
        <v>18064</v>
      </c>
      <c r="F45" s="45">
        <f t="shared" si="3"/>
        <v>134</v>
      </c>
      <c r="G45" s="45">
        <v>22709</v>
      </c>
      <c r="H45" s="45">
        <f t="shared" si="4"/>
        <v>151</v>
      </c>
      <c r="I45" s="45">
        <v>1802</v>
      </c>
      <c r="J45" s="45">
        <f t="shared" si="5"/>
        <v>42</v>
      </c>
      <c r="L45" s="1">
        <f t="shared" si="179"/>
        <v>301.10000000000002</v>
      </c>
      <c r="M45" s="1">
        <f t="shared" si="180"/>
        <v>2.2999999999999998</v>
      </c>
      <c r="N45" s="42">
        <v>1</v>
      </c>
      <c r="O45" s="26">
        <f t="shared" si="181"/>
        <v>378.5</v>
      </c>
      <c r="P45" s="19">
        <f t="shared" si="182"/>
        <v>2.6</v>
      </c>
      <c r="Q45" s="44">
        <v>1</v>
      </c>
      <c r="R45" s="1">
        <f t="shared" si="183"/>
        <v>30.03</v>
      </c>
      <c r="S45" s="1">
        <f t="shared" si="184"/>
        <v>0.71</v>
      </c>
      <c r="T45" s="42">
        <v>2</v>
      </c>
      <c r="U45" s="45">
        <f t="shared" si="185"/>
        <v>-25</v>
      </c>
      <c r="Z45" s="57">
        <f t="shared" si="159"/>
        <v>5</v>
      </c>
      <c r="AA45" s="53">
        <f t="shared" ref="AA45:AB45" si="213">R20</f>
        <v>0.35</v>
      </c>
      <c r="AB45" s="53">
        <f t="shared" si="213"/>
        <v>0.08</v>
      </c>
      <c r="AC45" s="55">
        <f t="shared" ref="AC45:AD45" si="214">R36</f>
        <v>0.63</v>
      </c>
      <c r="AD45" s="59">
        <f t="shared" si="214"/>
        <v>0.1</v>
      </c>
      <c r="AE45" s="60">
        <f t="shared" ref="AE45:AF45" si="215">R51</f>
        <v>0.75</v>
      </c>
      <c r="AF45" s="60">
        <f t="shared" si="215"/>
        <v>0.12</v>
      </c>
      <c r="AG45" s="55">
        <f t="shared" ref="AG45:AH45" si="216">R61</f>
        <v>6.72</v>
      </c>
      <c r="AH45" s="55">
        <f t="shared" si="216"/>
        <v>0.33</v>
      </c>
      <c r="AI45" s="60">
        <f t="shared" ref="AI45:AJ45" si="217">R70</f>
        <v>30.5</v>
      </c>
      <c r="AJ45" s="57">
        <f t="shared" si="217"/>
        <v>0.72</v>
      </c>
      <c r="AK45" s="59">
        <f t="shared" ref="AK45:AL45" si="218">R80</f>
        <v>8</v>
      </c>
      <c r="AL45" s="55">
        <f t="shared" si="218"/>
        <v>0.37</v>
      </c>
      <c r="AM45" s="57">
        <f t="shared" ref="AM45:AN45" si="219">R92</f>
        <v>0.65</v>
      </c>
      <c r="AN45" s="60">
        <f t="shared" si="219"/>
        <v>0.1</v>
      </c>
      <c r="AO45" s="55">
        <f t="shared" ref="AO45:AP45" si="220">R104</f>
        <v>0.48</v>
      </c>
      <c r="AP45" s="55">
        <f t="shared" si="220"/>
        <v>0.08</v>
      </c>
    </row>
    <row r="46" spans="1:42">
      <c r="A46" s="1">
        <v>-2.5</v>
      </c>
      <c r="B46" s="36">
        <v>-2</v>
      </c>
      <c r="C46" s="1">
        <v>0.05</v>
      </c>
      <c r="D46" s="45">
        <v>-20</v>
      </c>
      <c r="E46" s="45">
        <v>18186</v>
      </c>
      <c r="F46" s="45">
        <f t="shared" si="3"/>
        <v>135</v>
      </c>
      <c r="G46" s="45">
        <v>21852</v>
      </c>
      <c r="H46" s="45">
        <f t="shared" si="4"/>
        <v>148</v>
      </c>
      <c r="I46" s="45">
        <v>4046</v>
      </c>
      <c r="J46" s="45">
        <f t="shared" si="5"/>
        <v>64</v>
      </c>
      <c r="L46" s="1">
        <f t="shared" si="179"/>
        <v>303.10000000000002</v>
      </c>
      <c r="M46" s="1">
        <f t="shared" si="180"/>
        <v>2.2999999999999998</v>
      </c>
      <c r="N46" s="42">
        <v>1</v>
      </c>
      <c r="O46" s="26">
        <f t="shared" si="181"/>
        <v>364.2</v>
      </c>
      <c r="P46" s="19">
        <f t="shared" si="182"/>
        <v>2.5</v>
      </c>
      <c r="Q46" s="44">
        <v>1</v>
      </c>
      <c r="R46" s="1">
        <f t="shared" si="183"/>
        <v>67.400000000000006</v>
      </c>
      <c r="S46" s="43">
        <f t="shared" si="184"/>
        <v>1.1000000000000001</v>
      </c>
      <c r="T46" s="42">
        <v>1</v>
      </c>
      <c r="U46" s="45">
        <f t="shared" si="185"/>
        <v>-20</v>
      </c>
      <c r="Z46" s="57">
        <f t="shared" si="159"/>
        <v>10</v>
      </c>
      <c r="AA46" s="53">
        <f t="shared" ref="AA46:AB46" si="221">R21</f>
        <v>0.28000000000000003</v>
      </c>
      <c r="AB46" s="53">
        <f t="shared" si="221"/>
        <v>7.0000000000000007E-2</v>
      </c>
      <c r="AC46" s="55">
        <f t="shared" ref="AC46:AD46" si="222">R37</f>
        <v>0.27</v>
      </c>
      <c r="AD46" s="55">
        <f t="shared" si="222"/>
        <v>7.0000000000000007E-2</v>
      </c>
      <c r="AE46" s="60">
        <f t="shared" ref="AE46:AF46" si="223">R52</f>
        <v>0.62</v>
      </c>
      <c r="AF46" s="60">
        <f t="shared" si="223"/>
        <v>0.1</v>
      </c>
      <c r="AG46" s="55">
        <f t="shared" ref="AG46:AH46" si="224">R62</f>
        <v>0.45</v>
      </c>
      <c r="AH46" s="55">
        <f t="shared" si="224"/>
        <v>0.08</v>
      </c>
      <c r="AI46" s="57">
        <f t="shared" ref="AI46:AJ46" si="225">R71</f>
        <v>38.07</v>
      </c>
      <c r="AJ46" s="57">
        <f t="shared" si="225"/>
        <v>0.81</v>
      </c>
      <c r="AK46" s="55">
        <f t="shared" ref="AK46:AL46" si="226">R81</f>
        <v>19.43</v>
      </c>
      <c r="AL46" s="55">
        <f t="shared" si="226"/>
        <v>0.56999999999999995</v>
      </c>
      <c r="AM46" s="57">
        <f t="shared" ref="AM46:AN46" si="227">R93</f>
        <v>2.4300000000000002</v>
      </c>
      <c r="AN46" s="60">
        <f t="shared" si="227"/>
        <v>0.2</v>
      </c>
      <c r="AO46" s="59">
        <f t="shared" ref="AO46:AP46" si="228">R105</f>
        <v>0.4</v>
      </c>
      <c r="AP46" s="55">
        <f t="shared" si="228"/>
        <v>0.08</v>
      </c>
    </row>
    <row r="47" spans="1:42">
      <c r="D47" s="45">
        <v>-15</v>
      </c>
      <c r="E47" s="45">
        <v>18124</v>
      </c>
      <c r="F47" s="45">
        <f t="shared" si="3"/>
        <v>135</v>
      </c>
      <c r="G47" s="45">
        <v>21167</v>
      </c>
      <c r="H47" s="45">
        <f t="shared" si="4"/>
        <v>145</v>
      </c>
      <c r="I47" s="45">
        <v>5526</v>
      </c>
      <c r="J47" s="45">
        <f t="shared" si="5"/>
        <v>74</v>
      </c>
      <c r="K47" s="49">
        <f>0.02*I47</f>
        <v>110.52</v>
      </c>
      <c r="L47" s="1">
        <f t="shared" si="179"/>
        <v>302.10000000000002</v>
      </c>
      <c r="M47" s="1">
        <f t="shared" si="180"/>
        <v>2.2999999999999998</v>
      </c>
      <c r="N47" s="42">
        <v>1</v>
      </c>
      <c r="O47" s="26">
        <f t="shared" si="181"/>
        <v>352.8</v>
      </c>
      <c r="P47" s="19">
        <f t="shared" si="182"/>
        <v>2.5</v>
      </c>
      <c r="Q47" s="44">
        <v>1</v>
      </c>
      <c r="R47" s="43">
        <f t="shared" si="183"/>
        <v>92.1</v>
      </c>
      <c r="S47" s="43">
        <f t="shared" si="184"/>
        <v>1.2</v>
      </c>
      <c r="T47" s="42">
        <v>1</v>
      </c>
      <c r="U47" s="45">
        <f t="shared" si="185"/>
        <v>-15</v>
      </c>
      <c r="Z47" s="57">
        <f t="shared" si="159"/>
        <v>15</v>
      </c>
      <c r="AA47" s="56"/>
      <c r="AB47" s="56"/>
      <c r="AC47" s="56"/>
      <c r="AD47" s="56"/>
      <c r="AE47" s="60">
        <f t="shared" ref="AE47:AF47" si="229">R53</f>
        <v>0.37</v>
      </c>
      <c r="AF47" s="60">
        <f t="shared" si="229"/>
        <v>0.08</v>
      </c>
      <c r="AG47" s="56"/>
      <c r="AH47" s="56"/>
      <c r="AI47" s="57">
        <f t="shared" ref="AI47:AJ47" si="230">R72</f>
        <v>25.28</v>
      </c>
      <c r="AJ47" s="57">
        <f t="shared" si="230"/>
        <v>0.65</v>
      </c>
      <c r="AK47" s="55">
        <f t="shared" ref="AK47:AL47" si="231">R82</f>
        <v>37.369999999999997</v>
      </c>
      <c r="AL47" s="55">
        <f t="shared" si="231"/>
        <v>0.79</v>
      </c>
      <c r="AM47" s="57">
        <f t="shared" ref="AM47:AN47" si="232">R94</f>
        <v>13.1</v>
      </c>
      <c r="AN47" s="57">
        <f t="shared" si="232"/>
        <v>0.5</v>
      </c>
      <c r="AO47" s="55">
        <f t="shared" ref="AO47:AP47" si="233">R106</f>
        <v>0.53</v>
      </c>
      <c r="AP47" s="59">
        <f t="shared" si="233"/>
        <v>0.1</v>
      </c>
    </row>
    <row r="48" spans="1:42">
      <c r="D48" s="45">
        <v>-10</v>
      </c>
      <c r="E48" s="45">
        <v>18172</v>
      </c>
      <c r="F48" s="45">
        <f t="shared" si="3"/>
        <v>135</v>
      </c>
      <c r="G48" s="45">
        <v>20642</v>
      </c>
      <c r="H48" s="45">
        <f t="shared" si="4"/>
        <v>144</v>
      </c>
      <c r="I48" s="45">
        <v>3565</v>
      </c>
      <c r="J48" s="45">
        <f t="shared" si="5"/>
        <v>60</v>
      </c>
      <c r="L48" s="1">
        <f t="shared" si="179"/>
        <v>302.89999999999998</v>
      </c>
      <c r="M48" s="1">
        <f t="shared" si="180"/>
        <v>2.2999999999999998</v>
      </c>
      <c r="N48" s="42">
        <v>1</v>
      </c>
      <c r="O48" s="26">
        <f t="shared" si="181"/>
        <v>344</v>
      </c>
      <c r="P48" s="19">
        <f t="shared" si="182"/>
        <v>2.5</v>
      </c>
      <c r="Q48" s="44">
        <v>1</v>
      </c>
      <c r="R48" s="1">
        <f t="shared" si="183"/>
        <v>59.4</v>
      </c>
      <c r="S48" s="43">
        <f t="shared" si="184"/>
        <v>1</v>
      </c>
      <c r="T48" s="42">
        <v>1</v>
      </c>
      <c r="U48" s="45">
        <f t="shared" si="185"/>
        <v>-10</v>
      </c>
      <c r="Z48" s="57">
        <f t="shared" si="159"/>
        <v>20</v>
      </c>
      <c r="AA48" s="56"/>
      <c r="AB48" s="56"/>
      <c r="AC48" s="56"/>
      <c r="AD48" s="56"/>
      <c r="AE48" s="60"/>
      <c r="AF48" s="60"/>
      <c r="AG48" s="56"/>
      <c r="AH48" s="56"/>
      <c r="AI48" s="57">
        <f t="shared" ref="AI48:AJ48" si="234">R73</f>
        <v>10.8</v>
      </c>
      <c r="AJ48" s="57">
        <f t="shared" si="234"/>
        <v>0.4</v>
      </c>
      <c r="AK48" s="55">
        <f t="shared" ref="AK48:AL48" si="235">R83</f>
        <v>32.35</v>
      </c>
      <c r="AL48" s="55">
        <f t="shared" si="235"/>
        <v>0.74</v>
      </c>
      <c r="AM48" s="57">
        <f t="shared" ref="AM48:AN48" si="236">R95</f>
        <v>30.12</v>
      </c>
      <c r="AN48" s="57">
        <f t="shared" si="236"/>
        <v>0.72</v>
      </c>
      <c r="AO48" s="55">
        <f t="shared" ref="AO48:AP48" si="237">R107</f>
        <v>6.47</v>
      </c>
      <c r="AP48" s="55">
        <f t="shared" si="237"/>
        <v>0.33</v>
      </c>
    </row>
    <row r="49" spans="1:68">
      <c r="D49" s="45">
        <v>-5</v>
      </c>
      <c r="E49" s="45">
        <v>18080</v>
      </c>
      <c r="F49" s="45">
        <f t="shared" si="3"/>
        <v>134</v>
      </c>
      <c r="G49" s="45">
        <v>20484</v>
      </c>
      <c r="H49" s="45">
        <f t="shared" si="4"/>
        <v>143</v>
      </c>
      <c r="I49" s="45">
        <v>1235</v>
      </c>
      <c r="J49" s="45">
        <f t="shared" si="5"/>
        <v>35</v>
      </c>
      <c r="L49" s="1">
        <f t="shared" si="179"/>
        <v>301.3</v>
      </c>
      <c r="M49" s="1">
        <f t="shared" si="180"/>
        <v>2.2999999999999998</v>
      </c>
      <c r="N49" s="42">
        <v>1</v>
      </c>
      <c r="O49" s="26">
        <f t="shared" si="181"/>
        <v>341.4</v>
      </c>
      <c r="P49" s="19">
        <f t="shared" si="182"/>
        <v>2.4</v>
      </c>
      <c r="Q49" s="44">
        <v>1</v>
      </c>
      <c r="R49" s="1">
        <f t="shared" si="183"/>
        <v>20.58</v>
      </c>
      <c r="S49" s="1">
        <f t="shared" si="184"/>
        <v>0.59</v>
      </c>
      <c r="T49" s="42">
        <v>2</v>
      </c>
      <c r="U49" s="45">
        <f t="shared" si="185"/>
        <v>-5</v>
      </c>
      <c r="Z49" s="57">
        <f t="shared" si="159"/>
        <v>25</v>
      </c>
      <c r="AA49" s="56"/>
      <c r="AB49" s="56"/>
      <c r="AC49" s="56"/>
      <c r="AD49" s="56"/>
      <c r="AE49" s="56"/>
      <c r="AF49" s="56"/>
      <c r="AG49" s="56"/>
      <c r="AH49" s="56"/>
      <c r="AI49" s="57">
        <f t="shared" ref="AI49:AJ49" si="238">R74</f>
        <v>0.56999999999999995</v>
      </c>
      <c r="AJ49" s="60">
        <f t="shared" si="238"/>
        <v>0.1</v>
      </c>
      <c r="AK49" s="55">
        <f t="shared" ref="AK49:AL49" si="239">R84</f>
        <v>19.149999999999999</v>
      </c>
      <c r="AL49" s="55">
        <f t="shared" si="239"/>
        <v>0.56999999999999995</v>
      </c>
      <c r="AM49" s="57">
        <f t="shared" ref="AM49:AN49" si="240">R96</f>
        <v>38.93</v>
      </c>
      <c r="AN49" s="57">
        <f t="shared" si="240"/>
        <v>0.81</v>
      </c>
      <c r="AO49" s="55">
        <f t="shared" ref="AO49:AP49" si="241">R108</f>
        <v>20.079999999999998</v>
      </c>
      <c r="AP49" s="55">
        <f t="shared" si="241"/>
        <v>0.59</v>
      </c>
    </row>
    <row r="50" spans="1:68">
      <c r="D50" s="45">
        <v>0</v>
      </c>
      <c r="E50" s="45">
        <v>17907</v>
      </c>
      <c r="F50" s="45">
        <f t="shared" si="3"/>
        <v>134</v>
      </c>
      <c r="G50" s="45">
        <v>19885</v>
      </c>
      <c r="H50" s="45">
        <f t="shared" si="4"/>
        <v>141</v>
      </c>
      <c r="I50" s="45">
        <v>63</v>
      </c>
      <c r="J50" s="45">
        <f t="shared" si="5"/>
        <v>8</v>
      </c>
      <c r="L50" s="1">
        <f t="shared" si="179"/>
        <v>298.5</v>
      </c>
      <c r="M50" s="1">
        <f t="shared" si="180"/>
        <v>2.2999999999999998</v>
      </c>
      <c r="N50" s="42">
        <v>1</v>
      </c>
      <c r="O50" s="26">
        <f t="shared" si="181"/>
        <v>331.4</v>
      </c>
      <c r="P50" s="19">
        <f t="shared" si="182"/>
        <v>2.4</v>
      </c>
      <c r="Q50" s="44">
        <v>1</v>
      </c>
      <c r="R50" s="1">
        <f t="shared" si="183"/>
        <v>1.1000000000000001</v>
      </c>
      <c r="S50" s="1">
        <f t="shared" si="184"/>
        <v>0.1</v>
      </c>
      <c r="T50" s="42">
        <v>1</v>
      </c>
      <c r="U50" s="45">
        <f t="shared" si="185"/>
        <v>0</v>
      </c>
      <c r="Z50" s="57">
        <f t="shared" si="159"/>
        <v>30</v>
      </c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5">
        <f t="shared" ref="AK50:AL50" si="242">R85</f>
        <v>3.92</v>
      </c>
      <c r="AL50" s="55">
        <f t="shared" si="242"/>
        <v>0.25</v>
      </c>
      <c r="AM50" s="60">
        <f t="shared" ref="AM50:AN50" si="243">R97</f>
        <v>26.5</v>
      </c>
      <c r="AN50" s="57">
        <f t="shared" si="243"/>
        <v>0.67</v>
      </c>
      <c r="AO50" s="55">
        <f t="shared" ref="AO50:AP50" si="244">R109</f>
        <v>35.35</v>
      </c>
      <c r="AP50" s="55">
        <f t="shared" si="244"/>
        <v>0.77</v>
      </c>
    </row>
    <row r="51" spans="1:68">
      <c r="D51" s="45">
        <v>5</v>
      </c>
      <c r="E51" s="45">
        <v>18252</v>
      </c>
      <c r="F51" s="45">
        <f t="shared" si="3"/>
        <v>135</v>
      </c>
      <c r="G51" s="45">
        <v>19449</v>
      </c>
      <c r="H51" s="45">
        <f t="shared" si="4"/>
        <v>139</v>
      </c>
      <c r="I51" s="45">
        <v>45</v>
      </c>
      <c r="J51" s="45">
        <f t="shared" si="5"/>
        <v>7</v>
      </c>
      <c r="L51" s="1">
        <f t="shared" si="179"/>
        <v>304.2</v>
      </c>
      <c r="M51" s="1">
        <f t="shared" si="180"/>
        <v>2.2999999999999998</v>
      </c>
      <c r="N51" s="42">
        <v>1</v>
      </c>
      <c r="O51" s="26">
        <f t="shared" si="181"/>
        <v>324.2</v>
      </c>
      <c r="P51" s="19">
        <f t="shared" si="182"/>
        <v>2.4</v>
      </c>
      <c r="Q51" s="44">
        <v>1</v>
      </c>
      <c r="R51" s="1">
        <f t="shared" si="183"/>
        <v>0.75</v>
      </c>
      <c r="S51" s="1">
        <f t="shared" si="184"/>
        <v>0.12</v>
      </c>
      <c r="T51" s="42">
        <v>2</v>
      </c>
      <c r="U51" s="45">
        <f t="shared" si="185"/>
        <v>5</v>
      </c>
      <c r="Z51" s="57">
        <f t="shared" si="159"/>
        <v>35</v>
      </c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5">
        <f t="shared" ref="AK51:AL51" si="245">R86</f>
        <v>0.65</v>
      </c>
      <c r="AL51" s="59">
        <f t="shared" si="245"/>
        <v>0.1</v>
      </c>
      <c r="AM51" s="60">
        <f t="shared" ref="AM51:AN51" si="246">R98</f>
        <v>9.8000000000000007</v>
      </c>
      <c r="AN51" s="60">
        <f t="shared" si="246"/>
        <v>0.4</v>
      </c>
      <c r="AO51" s="55">
        <f t="shared" ref="AO51:AP51" si="247">R110</f>
        <v>33.82</v>
      </c>
      <c r="AP51" s="55">
        <f t="shared" si="247"/>
        <v>0.76</v>
      </c>
    </row>
    <row r="52" spans="1:68">
      <c r="D52" s="45">
        <v>10</v>
      </c>
      <c r="E52" s="45">
        <v>18058</v>
      </c>
      <c r="F52" s="45">
        <f t="shared" si="3"/>
        <v>134</v>
      </c>
      <c r="G52" s="45">
        <v>18821</v>
      </c>
      <c r="H52" s="45">
        <f t="shared" si="4"/>
        <v>137</v>
      </c>
      <c r="I52" s="45">
        <v>37</v>
      </c>
      <c r="J52" s="45">
        <f t="shared" si="5"/>
        <v>6</v>
      </c>
      <c r="L52" s="43">
        <f t="shared" si="179"/>
        <v>301</v>
      </c>
      <c r="M52" s="1">
        <f t="shared" si="180"/>
        <v>2.2999999999999998</v>
      </c>
      <c r="N52" s="42">
        <v>1</v>
      </c>
      <c r="O52" s="26">
        <f t="shared" si="181"/>
        <v>313.7</v>
      </c>
      <c r="P52" s="19">
        <f t="shared" si="182"/>
        <v>2.2999999999999998</v>
      </c>
      <c r="Q52" s="44">
        <v>1</v>
      </c>
      <c r="R52" s="1">
        <f t="shared" si="183"/>
        <v>0.62</v>
      </c>
      <c r="S52" s="36">
        <f t="shared" si="184"/>
        <v>0.1</v>
      </c>
      <c r="T52" s="42">
        <v>2</v>
      </c>
      <c r="U52" s="45">
        <f t="shared" si="185"/>
        <v>10</v>
      </c>
      <c r="Z52" s="57">
        <f t="shared" si="159"/>
        <v>40</v>
      </c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7">
        <f t="shared" ref="AM52:AN52" si="248">R99</f>
        <v>1.1000000000000001</v>
      </c>
      <c r="AN52" s="57">
        <f t="shared" si="248"/>
        <v>0.1</v>
      </c>
      <c r="AO52" s="55">
        <f t="shared" ref="AO52:AP52" si="249">R111</f>
        <v>19.079999999999998</v>
      </c>
      <c r="AP52" s="55">
        <f t="shared" si="249"/>
        <v>0.56999999999999995</v>
      </c>
    </row>
    <row r="53" spans="1:68">
      <c r="D53" s="45">
        <v>15</v>
      </c>
      <c r="E53" s="45">
        <v>18420</v>
      </c>
      <c r="F53" s="45">
        <f t="shared" si="3"/>
        <v>136</v>
      </c>
      <c r="G53" s="45">
        <v>18712</v>
      </c>
      <c r="H53" s="45">
        <f t="shared" si="4"/>
        <v>137</v>
      </c>
      <c r="I53" s="45">
        <v>22</v>
      </c>
      <c r="J53" s="45">
        <f t="shared" si="5"/>
        <v>5</v>
      </c>
      <c r="L53" s="43">
        <f t="shared" si="179"/>
        <v>307</v>
      </c>
      <c r="M53" s="1">
        <f t="shared" si="180"/>
        <v>2.2999999999999998</v>
      </c>
      <c r="N53" s="42">
        <v>1</v>
      </c>
      <c r="O53" s="26">
        <f t="shared" si="181"/>
        <v>311.89999999999998</v>
      </c>
      <c r="P53" s="19">
        <f t="shared" si="182"/>
        <v>2.2999999999999998</v>
      </c>
      <c r="Q53" s="44">
        <v>1</v>
      </c>
      <c r="R53" s="1">
        <f t="shared" si="183"/>
        <v>0.37</v>
      </c>
      <c r="S53" s="1">
        <f t="shared" si="184"/>
        <v>0.08</v>
      </c>
      <c r="T53" s="42">
        <v>2</v>
      </c>
      <c r="U53" s="45">
        <f t="shared" si="185"/>
        <v>15</v>
      </c>
      <c r="Z53" s="57">
        <f t="shared" si="159"/>
        <v>45</v>
      </c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7">
        <f t="shared" ref="AM53:AN53" si="250">R100</f>
        <v>0.72</v>
      </c>
      <c r="AN53" s="57">
        <f t="shared" si="250"/>
        <v>0.12</v>
      </c>
      <c r="AO53" s="55">
        <f t="shared" ref="AO53:AP53" si="251">R112</f>
        <v>3.85</v>
      </c>
      <c r="AP53" s="55">
        <f t="shared" si="251"/>
        <v>0.25</v>
      </c>
      <c r="BB53" s="42" t="s">
        <v>127</v>
      </c>
      <c r="BC53" s="42" t="s">
        <v>128</v>
      </c>
    </row>
    <row r="54" spans="1:68">
      <c r="L54" s="42" t="s">
        <v>104</v>
      </c>
      <c r="M54" s="42" t="s">
        <v>44</v>
      </c>
      <c r="N54" s="42" t="s">
        <v>105</v>
      </c>
      <c r="O54" s="44" t="s">
        <v>106</v>
      </c>
      <c r="P54" s="44" t="s">
        <v>44</v>
      </c>
      <c r="Q54" s="44" t="s">
        <v>105</v>
      </c>
      <c r="R54" s="42" t="s">
        <v>107</v>
      </c>
      <c r="S54" s="42" t="s">
        <v>44</v>
      </c>
      <c r="T54" s="42" t="s">
        <v>105</v>
      </c>
      <c r="V54" s="1" t="s">
        <v>108</v>
      </c>
      <c r="W54" s="1" t="s">
        <v>44</v>
      </c>
      <c r="Z54" s="57">
        <f t="shared" si="159"/>
        <v>50</v>
      </c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7">
        <f t="shared" ref="AM54:AN54" si="252">R101</f>
        <v>0.45</v>
      </c>
      <c r="AN54" s="57">
        <f t="shared" si="252"/>
        <v>0.08</v>
      </c>
      <c r="AO54" s="55">
        <f t="shared" ref="AO54:AP54" si="253">R113</f>
        <v>0.65</v>
      </c>
      <c r="AP54" s="59">
        <f t="shared" si="253"/>
        <v>0.1</v>
      </c>
      <c r="BB54" s="42">
        <v>-4</v>
      </c>
      <c r="BC54" s="1">
        <f>D13</f>
        <v>-30</v>
      </c>
    </row>
    <row r="55" spans="1:68">
      <c r="A55" s="21"/>
      <c r="B55" s="21"/>
      <c r="C55" s="21"/>
      <c r="D55" s="15">
        <v>-25</v>
      </c>
      <c r="E55" s="62">
        <v>13804</v>
      </c>
      <c r="F55" s="62">
        <f t="shared" ref="F55:F101" si="254">ROUND(SQRT(E55),0)</f>
        <v>117</v>
      </c>
      <c r="G55" s="62">
        <v>16413</v>
      </c>
      <c r="H55" s="62">
        <f t="shared" ref="H55:H101" si="255">ROUND(SQRT(G55),0)</f>
        <v>128</v>
      </c>
      <c r="I55" s="62">
        <v>35</v>
      </c>
      <c r="J55" s="62">
        <f t="shared" ref="J55:J101" si="256">ROUND(SQRT(I55),0)</f>
        <v>6</v>
      </c>
      <c r="L55" s="1">
        <f t="shared" ref="L55:L62" si="257">ROUND(E55/$H$3,N55)</f>
        <v>230.1</v>
      </c>
      <c r="M55" s="1">
        <f t="shared" ref="M55:M62" si="258">ROUND(  ABS(F55/$H$3) + ABS(E55*$I$3/$H$3/$H$3),N55)</f>
        <v>2</v>
      </c>
      <c r="N55" s="42">
        <v>1</v>
      </c>
      <c r="O55" s="19">
        <f t="shared" ref="O55:O62" si="259">ROUND(G55/$H$3,Q55)</f>
        <v>273.60000000000002</v>
      </c>
      <c r="P55" s="19">
        <f t="shared" ref="P55:P62" si="260">ROUND(  ABS(H55/$H$3) + ABS(G55*$I$3/$H$3/$H$3),Q55)</f>
        <v>2.2000000000000002</v>
      </c>
      <c r="Q55" s="44">
        <v>1</v>
      </c>
      <c r="R55" s="1">
        <f t="shared" ref="R55:R62" si="261">ROUND(I55/$H$3,T55)</f>
        <v>0.57999999999999996</v>
      </c>
      <c r="S55" s="1">
        <f t="shared" ref="S55:S62" si="262">ROUND(  ABS(J55/$H$3) + ABS(I55*$I$3/$H$3/$H$3),T55)</f>
        <v>0.1</v>
      </c>
      <c r="T55" s="42">
        <v>2</v>
      </c>
      <c r="U55" s="45">
        <f t="shared" ref="U55:U62" si="263">D55</f>
        <v>-25</v>
      </c>
      <c r="V55" s="1">
        <f>AVERAGE(L55:L62)</f>
        <v>230.7</v>
      </c>
      <c r="W55" s="1">
        <f>SQRT(SUMSQ(M55:M62)) /8</f>
        <v>0.70710678118654757</v>
      </c>
      <c r="Z55" s="57">
        <f t="shared" si="159"/>
        <v>55</v>
      </c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9">
        <f t="shared" ref="AO55:AP55" si="264">R114</f>
        <v>0.6</v>
      </c>
      <c r="AP55" s="59">
        <f t="shared" si="264"/>
        <v>0.1</v>
      </c>
      <c r="BB55" s="42">
        <v>-3</v>
      </c>
      <c r="BC55" s="1">
        <f>D30</f>
        <v>-25</v>
      </c>
    </row>
    <row r="56" spans="1:68">
      <c r="A56" s="21">
        <v>-1.25</v>
      </c>
      <c r="B56" s="49">
        <v>-1</v>
      </c>
      <c r="C56" s="21">
        <v>0.05</v>
      </c>
      <c r="D56" s="15">
        <v>-20</v>
      </c>
      <c r="E56" s="62">
        <v>13769</v>
      </c>
      <c r="F56" s="62">
        <f t="shared" si="254"/>
        <v>117</v>
      </c>
      <c r="G56" s="62">
        <v>16293</v>
      </c>
      <c r="H56" s="62">
        <f t="shared" si="255"/>
        <v>128</v>
      </c>
      <c r="I56" s="62">
        <v>60</v>
      </c>
      <c r="J56" s="62">
        <f t="shared" si="256"/>
        <v>8</v>
      </c>
      <c r="L56" s="1">
        <f t="shared" si="257"/>
        <v>229.5</v>
      </c>
      <c r="M56" s="1">
        <f t="shared" si="258"/>
        <v>2</v>
      </c>
      <c r="N56" s="42">
        <v>1</v>
      </c>
      <c r="O56" s="19">
        <f t="shared" si="259"/>
        <v>271.60000000000002</v>
      </c>
      <c r="P56" s="19">
        <f t="shared" si="260"/>
        <v>2.2000000000000002</v>
      </c>
      <c r="Q56" s="44">
        <v>1</v>
      </c>
      <c r="R56" s="43">
        <f t="shared" si="261"/>
        <v>1</v>
      </c>
      <c r="S56" s="1">
        <f t="shared" si="262"/>
        <v>0.1</v>
      </c>
      <c r="T56" s="42">
        <v>1</v>
      </c>
      <c r="U56" s="45">
        <f t="shared" si="263"/>
        <v>-20</v>
      </c>
      <c r="V56" s="19">
        <f>ROUND(V55,W57)</f>
        <v>230.7</v>
      </c>
      <c r="W56" s="19">
        <f>ROUND(W55,W57)</f>
        <v>0.7</v>
      </c>
      <c r="AA56" s="1">
        <f>AVERAGE(AA33:AA55)</f>
        <v>23.498571428571431</v>
      </c>
      <c r="AC56" s="1">
        <f>AVERAGE(AC33:AC55)</f>
        <v>21.029285714285713</v>
      </c>
      <c r="AE56" s="1">
        <f>AVERAGE(AE33:AE55)</f>
        <v>19.974999999999998</v>
      </c>
      <c r="AG56" s="1">
        <f>AVERAGE(AG33:AG55)</f>
        <v>13.085000000000001</v>
      </c>
      <c r="AI56" s="1">
        <f>AVERAGE(AI33:AI55)</f>
        <v>15.397499999999999</v>
      </c>
      <c r="AK56" s="1">
        <f>AVERAGE(AK33:AK55)</f>
        <v>13.557777777777778</v>
      </c>
      <c r="AM56" s="1">
        <f>AVERAGE(AM33:AM55)</f>
        <v>11.295454545454545</v>
      </c>
      <c r="AO56" s="1">
        <f>AVERAGE(AO33:AO55)</f>
        <v>10.140833333333331</v>
      </c>
      <c r="BB56" s="42">
        <v>-2</v>
      </c>
      <c r="BC56" s="1">
        <f>D47</f>
        <v>-15</v>
      </c>
      <c r="BK56" s="47"/>
      <c r="BL56" s="47"/>
      <c r="BM56" s="47"/>
      <c r="BN56" s="47"/>
      <c r="BO56" s="47"/>
      <c r="BP56" s="47"/>
    </row>
    <row r="57" spans="1:68">
      <c r="A57" s="21"/>
      <c r="B57" s="21"/>
      <c r="C57" s="21"/>
      <c r="D57" s="15">
        <v>-15</v>
      </c>
      <c r="E57" s="62">
        <v>13972</v>
      </c>
      <c r="F57" s="62">
        <f t="shared" si="254"/>
        <v>118</v>
      </c>
      <c r="G57" s="62">
        <v>16246</v>
      </c>
      <c r="H57" s="62">
        <f t="shared" si="255"/>
        <v>127</v>
      </c>
      <c r="I57" s="62">
        <v>512</v>
      </c>
      <c r="J57" s="62">
        <f t="shared" si="256"/>
        <v>23</v>
      </c>
      <c r="L57" s="1">
        <f t="shared" si="257"/>
        <v>232.9</v>
      </c>
      <c r="M57" s="1">
        <f t="shared" si="258"/>
        <v>2</v>
      </c>
      <c r="N57" s="42">
        <v>1</v>
      </c>
      <c r="O57" s="19">
        <f t="shared" si="259"/>
        <v>270.8</v>
      </c>
      <c r="P57" s="19">
        <f t="shared" si="260"/>
        <v>2.2000000000000002</v>
      </c>
      <c r="Q57" s="44">
        <v>1</v>
      </c>
      <c r="R57" s="1">
        <f t="shared" si="261"/>
        <v>8.5299999999999994</v>
      </c>
      <c r="S57" s="1">
        <f t="shared" si="262"/>
        <v>0.38</v>
      </c>
      <c r="T57" s="42">
        <v>2</v>
      </c>
      <c r="U57" s="45">
        <f t="shared" si="263"/>
        <v>-15</v>
      </c>
      <c r="V57" s="1" t="s">
        <v>117</v>
      </c>
      <c r="W57" s="1">
        <v>1</v>
      </c>
      <c r="BB57" s="42">
        <v>-1</v>
      </c>
      <c r="BC57" s="1">
        <f>D59</f>
        <v>-5</v>
      </c>
      <c r="BK57" s="47"/>
      <c r="BL57" s="47"/>
      <c r="BM57" s="47"/>
      <c r="BN57" s="47"/>
    </row>
    <row r="58" spans="1:68">
      <c r="A58" s="21"/>
      <c r="B58" s="21"/>
      <c r="C58" s="21"/>
      <c r="D58" s="15">
        <v>-10</v>
      </c>
      <c r="E58" s="62">
        <v>13826</v>
      </c>
      <c r="F58" s="62">
        <f t="shared" si="254"/>
        <v>118</v>
      </c>
      <c r="G58" s="62">
        <v>15643</v>
      </c>
      <c r="H58" s="62">
        <f t="shared" si="255"/>
        <v>125</v>
      </c>
      <c r="I58" s="62">
        <v>1266</v>
      </c>
      <c r="J58" s="62">
        <f t="shared" si="256"/>
        <v>36</v>
      </c>
      <c r="L58" s="1">
        <f t="shared" si="257"/>
        <v>230.4</v>
      </c>
      <c r="M58" s="1">
        <f t="shared" si="258"/>
        <v>2</v>
      </c>
      <c r="N58" s="42">
        <v>1</v>
      </c>
      <c r="O58" s="19">
        <f t="shared" si="259"/>
        <v>260.7</v>
      </c>
      <c r="P58" s="19">
        <f t="shared" si="260"/>
        <v>2.1</v>
      </c>
      <c r="Q58" s="44">
        <v>1</v>
      </c>
      <c r="R58" s="36">
        <f t="shared" si="261"/>
        <v>21.1</v>
      </c>
      <c r="S58" s="36">
        <f t="shared" si="262"/>
        <v>0.6</v>
      </c>
      <c r="T58" s="42">
        <v>2</v>
      </c>
      <c r="U58" s="45">
        <f t="shared" si="263"/>
        <v>-10</v>
      </c>
      <c r="BB58" s="42">
        <v>1</v>
      </c>
      <c r="BC58" s="1">
        <f>D71</f>
        <v>10</v>
      </c>
      <c r="BM58" s="47"/>
      <c r="BN58" s="47"/>
    </row>
    <row r="59" spans="1:68">
      <c r="A59" s="21"/>
      <c r="B59" s="21"/>
      <c r="C59" s="21"/>
      <c r="D59" s="15">
        <v>-5</v>
      </c>
      <c r="E59" s="62">
        <v>13890</v>
      </c>
      <c r="F59" s="62">
        <f t="shared" si="254"/>
        <v>118</v>
      </c>
      <c r="G59" s="62">
        <v>15904</v>
      </c>
      <c r="H59" s="62">
        <f t="shared" si="255"/>
        <v>126</v>
      </c>
      <c r="I59" s="62">
        <v>2416</v>
      </c>
      <c r="J59" s="62">
        <f t="shared" si="256"/>
        <v>49</v>
      </c>
      <c r="K59" s="49">
        <f>0.02*I59</f>
        <v>48.32</v>
      </c>
      <c r="L59" s="1">
        <f t="shared" si="257"/>
        <v>231.5</v>
      </c>
      <c r="M59" s="1">
        <f t="shared" si="258"/>
        <v>2</v>
      </c>
      <c r="N59" s="42">
        <v>1</v>
      </c>
      <c r="O59" s="19">
        <f t="shared" si="259"/>
        <v>265.10000000000002</v>
      </c>
      <c r="P59" s="19">
        <f t="shared" si="260"/>
        <v>2.1</v>
      </c>
      <c r="Q59" s="44">
        <v>1</v>
      </c>
      <c r="R59" s="1">
        <f t="shared" si="261"/>
        <v>40.270000000000003</v>
      </c>
      <c r="S59" s="1">
        <f t="shared" si="262"/>
        <v>0.82</v>
      </c>
      <c r="T59" s="42">
        <v>2</v>
      </c>
      <c r="U59" s="45">
        <f t="shared" si="263"/>
        <v>-5</v>
      </c>
      <c r="BB59" s="42">
        <v>2</v>
      </c>
      <c r="BC59" s="1">
        <f>D82</f>
        <v>15</v>
      </c>
    </row>
    <row r="60" spans="1:68">
      <c r="A60" s="21"/>
      <c r="B60" s="21"/>
      <c r="C60" s="21"/>
      <c r="D60" s="15">
        <v>0</v>
      </c>
      <c r="E60" s="62">
        <v>13805</v>
      </c>
      <c r="F60" s="62">
        <f t="shared" si="254"/>
        <v>117</v>
      </c>
      <c r="G60" s="62">
        <v>15363</v>
      </c>
      <c r="H60" s="62">
        <f t="shared" si="255"/>
        <v>124</v>
      </c>
      <c r="I60" s="62">
        <v>1562</v>
      </c>
      <c r="J60" s="62">
        <f t="shared" si="256"/>
        <v>40</v>
      </c>
      <c r="L60" s="1">
        <f t="shared" si="257"/>
        <v>230.1</v>
      </c>
      <c r="M60" s="1">
        <f t="shared" si="258"/>
        <v>2</v>
      </c>
      <c r="N60" s="42">
        <v>1</v>
      </c>
      <c r="O60" s="19">
        <f t="shared" si="259"/>
        <v>256.10000000000002</v>
      </c>
      <c r="P60" s="19">
        <f t="shared" si="260"/>
        <v>2.1</v>
      </c>
      <c r="Q60" s="44">
        <v>1</v>
      </c>
      <c r="R60" s="1">
        <f t="shared" si="261"/>
        <v>26.03</v>
      </c>
      <c r="S60" s="1">
        <f t="shared" si="262"/>
        <v>0.67</v>
      </c>
      <c r="T60" s="42">
        <v>2</v>
      </c>
      <c r="U60" s="45">
        <f t="shared" si="263"/>
        <v>0</v>
      </c>
      <c r="BB60" s="42">
        <v>3</v>
      </c>
      <c r="BC60" s="1">
        <f>D96</f>
        <v>25</v>
      </c>
    </row>
    <row r="61" spans="1:68">
      <c r="A61" s="21"/>
      <c r="B61" s="21"/>
      <c r="C61" s="21"/>
      <c r="D61" s="15">
        <v>5</v>
      </c>
      <c r="E61" s="62">
        <v>13955</v>
      </c>
      <c r="F61" s="62">
        <f t="shared" si="254"/>
        <v>118</v>
      </c>
      <c r="G61" s="62">
        <v>15144</v>
      </c>
      <c r="H61" s="62">
        <f t="shared" si="255"/>
        <v>123</v>
      </c>
      <c r="I61" s="62">
        <v>403</v>
      </c>
      <c r="J61" s="62">
        <f t="shared" si="256"/>
        <v>20</v>
      </c>
      <c r="L61" s="1">
        <f t="shared" si="257"/>
        <v>232.6</v>
      </c>
      <c r="M61" s="1">
        <f t="shared" si="258"/>
        <v>2</v>
      </c>
      <c r="N61" s="42">
        <v>1</v>
      </c>
      <c r="O61" s="19">
        <f t="shared" si="259"/>
        <v>252.4</v>
      </c>
      <c r="P61" s="19">
        <f t="shared" si="260"/>
        <v>2.1</v>
      </c>
      <c r="Q61" s="44">
        <v>1</v>
      </c>
      <c r="R61" s="1">
        <f t="shared" si="261"/>
        <v>6.72</v>
      </c>
      <c r="S61" s="1">
        <f t="shared" si="262"/>
        <v>0.33</v>
      </c>
      <c r="T61" s="42">
        <v>2</v>
      </c>
      <c r="U61" s="45">
        <f t="shared" si="263"/>
        <v>5</v>
      </c>
      <c r="BB61" s="42">
        <v>4</v>
      </c>
      <c r="BC61" s="1">
        <f>D109</f>
        <v>30</v>
      </c>
    </row>
    <row r="62" spans="1:68">
      <c r="A62" s="21"/>
      <c r="B62" s="21"/>
      <c r="C62" s="21"/>
      <c r="D62" s="15">
        <v>10</v>
      </c>
      <c r="E62" s="62">
        <v>13707</v>
      </c>
      <c r="F62" s="62">
        <f t="shared" si="254"/>
        <v>117</v>
      </c>
      <c r="G62" s="62">
        <v>15200</v>
      </c>
      <c r="H62" s="62">
        <f t="shared" si="255"/>
        <v>123</v>
      </c>
      <c r="I62" s="62">
        <v>27</v>
      </c>
      <c r="J62" s="62">
        <f t="shared" si="256"/>
        <v>5</v>
      </c>
      <c r="L62" s="1">
        <f t="shared" si="257"/>
        <v>228.5</v>
      </c>
      <c r="M62" s="1">
        <f t="shared" si="258"/>
        <v>2</v>
      </c>
      <c r="N62" s="42">
        <v>1</v>
      </c>
      <c r="O62" s="19">
        <f t="shared" si="259"/>
        <v>253.3</v>
      </c>
      <c r="P62" s="19">
        <f t="shared" si="260"/>
        <v>2.1</v>
      </c>
      <c r="Q62" s="44">
        <v>1</v>
      </c>
      <c r="R62" s="1">
        <f t="shared" si="261"/>
        <v>0.45</v>
      </c>
      <c r="S62" s="1">
        <f t="shared" si="262"/>
        <v>0.08</v>
      </c>
      <c r="T62" s="42">
        <v>2</v>
      </c>
      <c r="U62" s="45">
        <f t="shared" si="263"/>
        <v>10</v>
      </c>
      <c r="Z62" s="42" t="s">
        <v>95</v>
      </c>
      <c r="AA62" s="42" t="s">
        <v>108</v>
      </c>
      <c r="AB62" s="42" t="s">
        <v>44</v>
      </c>
    </row>
    <row r="63" spans="1:68">
      <c r="A63" s="21"/>
      <c r="B63" s="21"/>
      <c r="C63" s="21"/>
      <c r="D63" s="15">
        <v>15</v>
      </c>
      <c r="E63" s="21"/>
      <c r="F63" s="1">
        <f t="shared" si="254"/>
        <v>0</v>
      </c>
      <c r="G63" s="21"/>
      <c r="H63" s="1">
        <f t="shared" si="255"/>
        <v>0</v>
      </c>
      <c r="I63" s="21"/>
      <c r="J63" s="1">
        <f t="shared" si="256"/>
        <v>0</v>
      </c>
      <c r="O63" s="19"/>
      <c r="P63" s="19"/>
      <c r="Q63" s="19"/>
      <c r="Z63" s="63">
        <v>-4</v>
      </c>
      <c r="AA63" s="1">
        <f t="shared" ref="AA63:AB63" si="265">V9</f>
        <v>291.10000000000002</v>
      </c>
      <c r="AB63" s="1">
        <f t="shared" si="265"/>
        <v>0.6</v>
      </c>
    </row>
    <row r="64" spans="1:68">
      <c r="A64" s="21"/>
      <c r="B64" s="21"/>
      <c r="C64" s="21"/>
      <c r="D64" s="15">
        <v>20</v>
      </c>
      <c r="E64" s="21"/>
      <c r="F64" s="1">
        <f t="shared" si="254"/>
        <v>0</v>
      </c>
      <c r="G64" s="21"/>
      <c r="H64" s="1">
        <f t="shared" si="255"/>
        <v>0</v>
      </c>
      <c r="I64" s="21"/>
      <c r="J64" s="1">
        <f t="shared" si="256"/>
        <v>0</v>
      </c>
      <c r="O64" s="19"/>
      <c r="P64" s="19"/>
      <c r="Q64" s="19"/>
      <c r="Z64" s="63">
        <v>-3</v>
      </c>
      <c r="AA64" s="1">
        <f t="shared" ref="AA64:AB64" si="266">V25</f>
        <v>296.3</v>
      </c>
      <c r="AB64" s="1">
        <f t="shared" si="266"/>
        <v>0.6</v>
      </c>
    </row>
    <row r="65" spans="1:28">
      <c r="A65" s="1">
        <v>1.25</v>
      </c>
      <c r="B65" s="49">
        <v>1</v>
      </c>
      <c r="C65" s="1">
        <v>0.05</v>
      </c>
      <c r="D65" s="1">
        <v>-20</v>
      </c>
      <c r="F65" s="1">
        <f t="shared" si="254"/>
        <v>0</v>
      </c>
      <c r="H65" s="1">
        <f t="shared" si="255"/>
        <v>0</v>
      </c>
      <c r="J65" s="1">
        <f t="shared" si="256"/>
        <v>0</v>
      </c>
      <c r="O65" s="19"/>
      <c r="P65" s="19"/>
      <c r="Q65" s="19"/>
      <c r="Z65" s="63">
        <v>-2</v>
      </c>
      <c r="AA65" s="1">
        <f t="shared" ref="AA65:AB65" si="267">V41</f>
        <v>303.3</v>
      </c>
      <c r="AB65" s="1">
        <f t="shared" si="267"/>
        <v>0.6</v>
      </c>
    </row>
    <row r="66" spans="1:28">
      <c r="D66" s="1">
        <v>-15</v>
      </c>
      <c r="F66" s="1">
        <f t="shared" si="254"/>
        <v>0</v>
      </c>
      <c r="H66" s="1">
        <f t="shared" si="255"/>
        <v>0</v>
      </c>
      <c r="J66" s="1">
        <f t="shared" si="256"/>
        <v>0</v>
      </c>
      <c r="L66" s="42" t="s">
        <v>104</v>
      </c>
      <c r="M66" s="42" t="s">
        <v>44</v>
      </c>
      <c r="N66" s="42" t="s">
        <v>105</v>
      </c>
      <c r="O66" s="44" t="s">
        <v>106</v>
      </c>
      <c r="P66" s="44" t="s">
        <v>44</v>
      </c>
      <c r="Q66" s="44" t="s">
        <v>105</v>
      </c>
      <c r="R66" s="42" t="s">
        <v>107</v>
      </c>
      <c r="S66" s="42" t="s">
        <v>44</v>
      </c>
      <c r="T66" s="42" t="s">
        <v>105</v>
      </c>
      <c r="V66" s="1" t="s">
        <v>108</v>
      </c>
      <c r="W66" s="1" t="s">
        <v>44</v>
      </c>
      <c r="Z66" s="63">
        <v>-1</v>
      </c>
      <c r="AA66" s="1">
        <f t="shared" ref="AA66:AB66" si="268">V56</f>
        <v>230.7</v>
      </c>
      <c r="AB66" s="1">
        <f t="shared" si="268"/>
        <v>0.7</v>
      </c>
    </row>
    <row r="67" spans="1:28">
      <c r="D67" s="62">
        <v>-10</v>
      </c>
      <c r="E67" s="62">
        <v>13458</v>
      </c>
      <c r="F67" s="62">
        <f t="shared" si="254"/>
        <v>116</v>
      </c>
      <c r="G67" s="62">
        <v>15098</v>
      </c>
      <c r="H67" s="62">
        <f t="shared" si="255"/>
        <v>123</v>
      </c>
      <c r="I67" s="62">
        <v>32</v>
      </c>
      <c r="J67" s="62">
        <f t="shared" si="256"/>
        <v>6</v>
      </c>
      <c r="L67" s="1">
        <f t="shared" ref="L67:L74" si="269">ROUND(E67/$H$3,N67)</f>
        <v>224.3</v>
      </c>
      <c r="M67" s="1">
        <f t="shared" ref="M67:M74" si="270">ROUND(  ABS(F67/$H$3) + ABS(E67*$I$3/$H$3/$H$3),N67)</f>
        <v>2</v>
      </c>
      <c r="N67" s="42">
        <v>1</v>
      </c>
      <c r="O67" s="19">
        <f t="shared" ref="O67:O74" si="271">ROUND(G67/$H$3,Q67)</f>
        <v>251.6</v>
      </c>
      <c r="P67" s="19">
        <f t="shared" ref="P67:P74" si="272">ROUND(  ABS(H67/$H$3) + ABS(G67*$I$3/$H$3/$H$3),Q67)</f>
        <v>2.1</v>
      </c>
      <c r="Q67" s="44">
        <v>1</v>
      </c>
      <c r="R67" s="1">
        <f t="shared" ref="R67:R74" si="273">ROUND(I67/$H$3,T67)</f>
        <v>0.53</v>
      </c>
      <c r="S67" s="36">
        <f t="shared" ref="S67:S74" si="274">ROUND(  ABS(J67/$H$3) + ABS(I67*$I$3/$H$3/$H$3),T67)</f>
        <v>0.1</v>
      </c>
      <c r="T67" s="42">
        <v>2</v>
      </c>
      <c r="U67" s="45">
        <f t="shared" ref="U67:U74" si="275">D67</f>
        <v>-10</v>
      </c>
      <c r="V67" s="1">
        <f>AVERAGE(L67:L74)</f>
        <v>225.35</v>
      </c>
      <c r="W67" s="1">
        <f>SQRT(SUMSQ(M67:M74)) /8</f>
        <v>0.70710678118654757</v>
      </c>
      <c r="Z67" s="63">
        <v>1</v>
      </c>
      <c r="AA67" s="1">
        <f t="shared" ref="AA67:AB67" si="276">V68</f>
        <v>225.4</v>
      </c>
      <c r="AB67" s="1">
        <f t="shared" si="276"/>
        <v>0.7</v>
      </c>
    </row>
    <row r="68" spans="1:28">
      <c r="D68" s="62">
        <v>-5</v>
      </c>
      <c r="E68" s="62">
        <v>13613</v>
      </c>
      <c r="F68" s="62">
        <f t="shared" si="254"/>
        <v>117</v>
      </c>
      <c r="G68" s="62">
        <v>15474</v>
      </c>
      <c r="H68" s="62">
        <f t="shared" si="255"/>
        <v>124</v>
      </c>
      <c r="I68" s="62">
        <v>212</v>
      </c>
      <c r="J68" s="62">
        <f t="shared" si="256"/>
        <v>15</v>
      </c>
      <c r="L68" s="1">
        <f t="shared" si="269"/>
        <v>226.9</v>
      </c>
      <c r="M68" s="1">
        <f t="shared" si="270"/>
        <v>2</v>
      </c>
      <c r="N68" s="42">
        <v>1</v>
      </c>
      <c r="O68" s="19">
        <f t="shared" si="271"/>
        <v>257.89999999999998</v>
      </c>
      <c r="P68" s="19">
        <f t="shared" si="272"/>
        <v>2.1</v>
      </c>
      <c r="Q68" s="44">
        <v>1</v>
      </c>
      <c r="R68" s="1">
        <f t="shared" si="273"/>
        <v>3.53</v>
      </c>
      <c r="S68" s="1">
        <f t="shared" si="274"/>
        <v>0.25</v>
      </c>
      <c r="T68" s="42">
        <v>2</v>
      </c>
      <c r="U68" s="45">
        <f t="shared" si="275"/>
        <v>-5</v>
      </c>
      <c r="V68" s="19">
        <f>ROUND(V67,W69)</f>
        <v>225.4</v>
      </c>
      <c r="W68" s="19">
        <f>ROUND(W67,W69)</f>
        <v>0.7</v>
      </c>
      <c r="Z68" s="63">
        <v>2</v>
      </c>
      <c r="AA68" s="43">
        <f t="shared" ref="AA68:AB68" si="277">V79</f>
        <v>219</v>
      </c>
      <c r="AB68" s="1">
        <f t="shared" si="277"/>
        <v>0.7</v>
      </c>
    </row>
    <row r="69" spans="1:28">
      <c r="D69" s="62">
        <v>0</v>
      </c>
      <c r="E69" s="62">
        <v>13711</v>
      </c>
      <c r="F69" s="62">
        <f t="shared" si="254"/>
        <v>117</v>
      </c>
      <c r="G69" s="62">
        <v>15398</v>
      </c>
      <c r="H69" s="62">
        <f t="shared" si="255"/>
        <v>124</v>
      </c>
      <c r="I69" s="62">
        <v>832</v>
      </c>
      <c r="J69" s="62">
        <f t="shared" si="256"/>
        <v>29</v>
      </c>
      <c r="L69" s="1">
        <f t="shared" si="269"/>
        <v>228.5</v>
      </c>
      <c r="M69" s="1">
        <f t="shared" si="270"/>
        <v>2</v>
      </c>
      <c r="N69" s="42">
        <v>1</v>
      </c>
      <c r="O69" s="19">
        <f t="shared" si="271"/>
        <v>256.60000000000002</v>
      </c>
      <c r="P69" s="19">
        <f t="shared" si="272"/>
        <v>2.1</v>
      </c>
      <c r="Q69" s="44">
        <v>1</v>
      </c>
      <c r="R69" s="1">
        <f t="shared" si="273"/>
        <v>13.9</v>
      </c>
      <c r="S69" s="1">
        <f t="shared" si="274"/>
        <v>0.5</v>
      </c>
      <c r="T69" s="42">
        <v>1</v>
      </c>
      <c r="U69" s="45">
        <f t="shared" si="275"/>
        <v>0</v>
      </c>
      <c r="V69" s="1" t="s">
        <v>117</v>
      </c>
      <c r="W69" s="1">
        <v>1</v>
      </c>
      <c r="Z69" s="63">
        <v>3</v>
      </c>
      <c r="AA69" s="1">
        <f t="shared" ref="AA69:AB69" si="278">V92</f>
        <v>213.4</v>
      </c>
      <c r="AB69" s="1">
        <f t="shared" si="278"/>
        <v>0.6</v>
      </c>
    </row>
    <row r="70" spans="1:28">
      <c r="D70" s="62">
        <v>5</v>
      </c>
      <c r="E70" s="62">
        <v>13618</v>
      </c>
      <c r="F70" s="62">
        <f t="shared" si="254"/>
        <v>117</v>
      </c>
      <c r="G70" s="62">
        <v>15742</v>
      </c>
      <c r="H70" s="62">
        <f t="shared" si="255"/>
        <v>125</v>
      </c>
      <c r="I70" s="62">
        <v>1830</v>
      </c>
      <c r="J70" s="62">
        <f t="shared" si="256"/>
        <v>43</v>
      </c>
      <c r="L70" s="43">
        <f t="shared" si="269"/>
        <v>227</v>
      </c>
      <c r="M70" s="1">
        <f t="shared" si="270"/>
        <v>2</v>
      </c>
      <c r="N70" s="42">
        <v>1</v>
      </c>
      <c r="O70" s="19">
        <f t="shared" si="271"/>
        <v>262.39999999999998</v>
      </c>
      <c r="P70" s="19">
        <f t="shared" si="272"/>
        <v>2.1</v>
      </c>
      <c r="Q70" s="44">
        <v>1</v>
      </c>
      <c r="R70" s="36">
        <f t="shared" si="273"/>
        <v>30.5</v>
      </c>
      <c r="S70" s="1">
        <f t="shared" si="274"/>
        <v>0.72</v>
      </c>
      <c r="T70" s="42">
        <v>2</v>
      </c>
      <c r="U70" s="45">
        <f t="shared" si="275"/>
        <v>5</v>
      </c>
      <c r="Z70" s="63">
        <v>4</v>
      </c>
      <c r="AA70" s="1">
        <f t="shared" ref="AA70:AB70" si="279">V104</f>
        <v>207.4</v>
      </c>
      <c r="AB70" s="1">
        <f t="shared" si="279"/>
        <v>0.5</v>
      </c>
    </row>
    <row r="71" spans="1:28">
      <c r="D71" s="62">
        <v>10</v>
      </c>
      <c r="E71" s="62">
        <v>13514</v>
      </c>
      <c r="F71" s="62">
        <f t="shared" si="254"/>
        <v>116</v>
      </c>
      <c r="G71" s="62">
        <v>15749</v>
      </c>
      <c r="H71" s="62">
        <f t="shared" si="255"/>
        <v>125</v>
      </c>
      <c r="I71" s="62">
        <v>2284</v>
      </c>
      <c r="J71" s="62">
        <f t="shared" si="256"/>
        <v>48</v>
      </c>
      <c r="K71" s="49">
        <f>0.02*I71</f>
        <v>45.68</v>
      </c>
      <c r="L71" s="1">
        <f t="shared" si="269"/>
        <v>225.2</v>
      </c>
      <c r="M71" s="1">
        <f t="shared" si="270"/>
        <v>2</v>
      </c>
      <c r="N71" s="42">
        <v>1</v>
      </c>
      <c r="O71" s="19">
        <f t="shared" si="271"/>
        <v>262.5</v>
      </c>
      <c r="P71" s="19">
        <f t="shared" si="272"/>
        <v>2.1</v>
      </c>
      <c r="Q71" s="44">
        <v>1</v>
      </c>
      <c r="R71" s="1">
        <f t="shared" si="273"/>
        <v>38.07</v>
      </c>
      <c r="S71" s="1">
        <f t="shared" si="274"/>
        <v>0.81</v>
      </c>
      <c r="T71" s="42">
        <v>2</v>
      </c>
      <c r="U71" s="45">
        <f t="shared" si="275"/>
        <v>10</v>
      </c>
    </row>
    <row r="72" spans="1:28">
      <c r="D72" s="62">
        <v>15</v>
      </c>
      <c r="E72" s="62">
        <v>13487</v>
      </c>
      <c r="F72" s="62">
        <f t="shared" si="254"/>
        <v>116</v>
      </c>
      <c r="G72" s="62">
        <v>16018</v>
      </c>
      <c r="H72" s="62">
        <f t="shared" si="255"/>
        <v>127</v>
      </c>
      <c r="I72" s="62">
        <v>1517</v>
      </c>
      <c r="J72" s="62">
        <f t="shared" si="256"/>
        <v>39</v>
      </c>
      <c r="L72" s="1">
        <f t="shared" si="269"/>
        <v>224.8</v>
      </c>
      <c r="M72" s="1">
        <f t="shared" si="270"/>
        <v>2</v>
      </c>
      <c r="N72" s="42">
        <v>1</v>
      </c>
      <c r="O72" s="26">
        <f t="shared" si="271"/>
        <v>267</v>
      </c>
      <c r="P72" s="19">
        <f t="shared" si="272"/>
        <v>2.2000000000000002</v>
      </c>
      <c r="Q72" s="44">
        <v>1</v>
      </c>
      <c r="R72" s="1">
        <f t="shared" si="273"/>
        <v>25.28</v>
      </c>
      <c r="S72" s="1">
        <f t="shared" si="274"/>
        <v>0.65</v>
      </c>
      <c r="T72" s="42">
        <v>2</v>
      </c>
      <c r="U72" s="45">
        <f t="shared" si="275"/>
        <v>15</v>
      </c>
    </row>
    <row r="73" spans="1:28">
      <c r="D73" s="62">
        <v>20</v>
      </c>
      <c r="E73" s="62">
        <v>13428</v>
      </c>
      <c r="F73" s="62">
        <f t="shared" si="254"/>
        <v>116</v>
      </c>
      <c r="G73" s="62">
        <v>16464</v>
      </c>
      <c r="H73" s="62">
        <f t="shared" si="255"/>
        <v>128</v>
      </c>
      <c r="I73" s="62">
        <v>648</v>
      </c>
      <c r="J73" s="62">
        <f t="shared" si="256"/>
        <v>25</v>
      </c>
      <c r="L73" s="1">
        <f t="shared" si="269"/>
        <v>223.8</v>
      </c>
      <c r="M73" s="1">
        <f t="shared" si="270"/>
        <v>2</v>
      </c>
      <c r="N73" s="42">
        <v>1</v>
      </c>
      <c r="O73" s="19">
        <f t="shared" si="271"/>
        <v>274.39999999999998</v>
      </c>
      <c r="P73" s="19">
        <f t="shared" si="272"/>
        <v>2.2000000000000002</v>
      </c>
      <c r="Q73" s="44">
        <v>1</v>
      </c>
      <c r="R73" s="1">
        <f t="shared" si="273"/>
        <v>10.8</v>
      </c>
      <c r="S73" s="1">
        <f t="shared" si="274"/>
        <v>0.4</v>
      </c>
      <c r="T73" s="42">
        <v>1</v>
      </c>
      <c r="U73" s="45">
        <f t="shared" si="275"/>
        <v>20</v>
      </c>
    </row>
    <row r="74" spans="1:28">
      <c r="D74" s="62">
        <v>25</v>
      </c>
      <c r="E74" s="62">
        <v>13339</v>
      </c>
      <c r="F74" s="62">
        <f t="shared" si="254"/>
        <v>115</v>
      </c>
      <c r="G74" s="62">
        <v>16540</v>
      </c>
      <c r="H74" s="62">
        <f t="shared" si="255"/>
        <v>129</v>
      </c>
      <c r="I74" s="62">
        <v>34</v>
      </c>
      <c r="J74" s="62">
        <f t="shared" si="256"/>
        <v>6</v>
      </c>
      <c r="L74" s="1">
        <f t="shared" si="269"/>
        <v>222.3</v>
      </c>
      <c r="M74" s="1">
        <f t="shared" si="270"/>
        <v>2</v>
      </c>
      <c r="N74" s="42">
        <v>1</v>
      </c>
      <c r="O74" s="19">
        <f t="shared" si="271"/>
        <v>275.7</v>
      </c>
      <c r="P74" s="19">
        <f t="shared" si="272"/>
        <v>2.2000000000000002</v>
      </c>
      <c r="Q74" s="44">
        <v>1</v>
      </c>
      <c r="R74" s="1">
        <f t="shared" si="273"/>
        <v>0.56999999999999995</v>
      </c>
      <c r="S74" s="36">
        <f t="shared" si="274"/>
        <v>0.1</v>
      </c>
      <c r="T74" s="42">
        <v>2</v>
      </c>
      <c r="U74" s="45">
        <f t="shared" si="275"/>
        <v>25</v>
      </c>
    </row>
    <row r="75" spans="1:28">
      <c r="A75" s="21">
        <v>2.5</v>
      </c>
      <c r="B75" s="49">
        <v>2</v>
      </c>
      <c r="C75" s="21">
        <v>0.05</v>
      </c>
      <c r="D75" s="19">
        <v>-20</v>
      </c>
      <c r="E75" s="19"/>
      <c r="F75" s="19">
        <f t="shared" si="254"/>
        <v>0</v>
      </c>
      <c r="G75" s="19"/>
      <c r="H75" s="19">
        <f t="shared" si="255"/>
        <v>0</v>
      </c>
      <c r="I75" s="19"/>
      <c r="J75" s="19">
        <f t="shared" si="256"/>
        <v>0</v>
      </c>
      <c r="O75" s="19"/>
      <c r="P75" s="19"/>
      <c r="Q75" s="19"/>
    </row>
    <row r="76" spans="1:28">
      <c r="A76" s="21"/>
      <c r="B76" s="21"/>
      <c r="C76" s="21"/>
      <c r="D76" s="19">
        <v>-15</v>
      </c>
      <c r="E76" s="19"/>
      <c r="F76" s="19">
        <f t="shared" si="254"/>
        <v>0</v>
      </c>
      <c r="G76" s="19"/>
      <c r="H76" s="19">
        <f t="shared" si="255"/>
        <v>0</v>
      </c>
      <c r="I76" s="19"/>
      <c r="J76" s="19">
        <f t="shared" si="256"/>
        <v>0</v>
      </c>
      <c r="O76" s="19"/>
      <c r="P76" s="19"/>
      <c r="Q76" s="19"/>
    </row>
    <row r="77" spans="1:28">
      <c r="A77" s="21"/>
      <c r="B77" s="21"/>
      <c r="C77" s="21"/>
      <c r="D77" s="19">
        <v>-10</v>
      </c>
      <c r="E77" s="19"/>
      <c r="F77" s="19">
        <f t="shared" si="254"/>
        <v>0</v>
      </c>
      <c r="G77" s="19"/>
      <c r="H77" s="19">
        <f t="shared" si="255"/>
        <v>0</v>
      </c>
      <c r="I77" s="19"/>
      <c r="J77" s="19">
        <f t="shared" si="256"/>
        <v>0</v>
      </c>
      <c r="L77" s="42" t="s">
        <v>104</v>
      </c>
      <c r="M77" s="42" t="s">
        <v>44</v>
      </c>
      <c r="N77" s="42" t="s">
        <v>105</v>
      </c>
      <c r="O77" s="44" t="s">
        <v>106</v>
      </c>
      <c r="P77" s="44" t="s">
        <v>44</v>
      </c>
      <c r="Q77" s="44" t="s">
        <v>105</v>
      </c>
      <c r="R77" s="42" t="s">
        <v>107</v>
      </c>
      <c r="S77" s="42" t="s">
        <v>44</v>
      </c>
      <c r="T77" s="42" t="s">
        <v>105</v>
      </c>
      <c r="V77" s="1" t="s">
        <v>108</v>
      </c>
      <c r="W77" s="1" t="s">
        <v>44</v>
      </c>
    </row>
    <row r="78" spans="1:28">
      <c r="A78" s="21"/>
      <c r="B78" s="21"/>
      <c r="C78" s="21"/>
      <c r="D78" s="62">
        <v>-5</v>
      </c>
      <c r="E78" s="62">
        <v>13226</v>
      </c>
      <c r="F78" s="62">
        <f t="shared" si="254"/>
        <v>115</v>
      </c>
      <c r="G78" s="62">
        <v>14769</v>
      </c>
      <c r="H78" s="62">
        <f t="shared" si="255"/>
        <v>122</v>
      </c>
      <c r="I78" s="62">
        <v>23</v>
      </c>
      <c r="J78" s="62">
        <f t="shared" si="256"/>
        <v>5</v>
      </c>
      <c r="L78" s="1">
        <f t="shared" ref="L78:L86" si="280">ROUND(E78/$H$3,N78)</f>
        <v>220.4</v>
      </c>
      <c r="M78" s="1">
        <f t="shared" ref="M78:M86" si="281">ROUND(  ABS(F78/$H$3) + ABS(E78*$I$3/$H$3/$H$3),N78)</f>
        <v>2</v>
      </c>
      <c r="N78" s="42">
        <v>1</v>
      </c>
      <c r="O78" s="19">
        <f t="shared" ref="O78:O86" si="282">ROUND(G78/$H$3,Q78)</f>
        <v>246.2</v>
      </c>
      <c r="P78" s="19">
        <f t="shared" ref="P78:P86" si="283">ROUND(  ABS(H78/$H$3) + ABS(G78*$I$3/$H$3/$H$3),Q78)</f>
        <v>2.1</v>
      </c>
      <c r="Q78" s="44">
        <v>1</v>
      </c>
      <c r="R78" s="1">
        <f t="shared" ref="R78:R86" si="284">ROUND(I78/$H$3,T78)</f>
        <v>0.38</v>
      </c>
      <c r="S78" s="1">
        <f t="shared" ref="S78:S86" si="285">ROUND(  ABS(J78/$H$3) + ABS(I78*$I$3/$H$3/$H$3),T78)</f>
        <v>0.08</v>
      </c>
      <c r="T78" s="42">
        <v>2</v>
      </c>
      <c r="U78" s="45">
        <f t="shared" ref="U78:U86" si="286">D78</f>
        <v>-5</v>
      </c>
      <c r="V78" s="1">
        <f>AVERAGE(L78:L86)</f>
        <v>219.03333333333333</v>
      </c>
      <c r="W78" s="1">
        <f>SQRT(SUMSQ(M78:M86)) /9</f>
        <v>0.652062255605387</v>
      </c>
    </row>
    <row r="79" spans="1:28">
      <c r="A79" s="21"/>
      <c r="B79" s="21"/>
      <c r="C79" s="21"/>
      <c r="D79" s="62">
        <v>0</v>
      </c>
      <c r="E79" s="62">
        <v>13128</v>
      </c>
      <c r="F79" s="62">
        <f t="shared" si="254"/>
        <v>115</v>
      </c>
      <c r="G79" s="62">
        <v>15366</v>
      </c>
      <c r="H79" s="62">
        <f t="shared" si="255"/>
        <v>124</v>
      </c>
      <c r="I79" s="62">
        <v>46</v>
      </c>
      <c r="J79" s="62">
        <f t="shared" si="256"/>
        <v>7</v>
      </c>
      <c r="L79" s="1">
        <f t="shared" si="280"/>
        <v>218.8</v>
      </c>
      <c r="M79" s="1">
        <f t="shared" si="281"/>
        <v>2</v>
      </c>
      <c r="N79" s="42">
        <v>1</v>
      </c>
      <c r="O79" s="19">
        <f t="shared" si="282"/>
        <v>256.10000000000002</v>
      </c>
      <c r="P79" s="19">
        <f t="shared" si="283"/>
        <v>2.1</v>
      </c>
      <c r="Q79" s="44">
        <v>1</v>
      </c>
      <c r="R79" s="1">
        <f t="shared" si="284"/>
        <v>0.77</v>
      </c>
      <c r="S79" s="1">
        <f t="shared" si="285"/>
        <v>0.12</v>
      </c>
      <c r="T79" s="42">
        <v>2</v>
      </c>
      <c r="U79" s="45">
        <f t="shared" si="286"/>
        <v>0</v>
      </c>
      <c r="V79" s="26">
        <f>ROUND(V78,W80)</f>
        <v>219</v>
      </c>
      <c r="W79" s="19">
        <f>ROUND(W78,W80)</f>
        <v>0.7</v>
      </c>
    </row>
    <row r="80" spans="1:28">
      <c r="A80" s="21"/>
      <c r="B80" s="21"/>
      <c r="C80" s="21"/>
      <c r="D80" s="62">
        <v>5</v>
      </c>
      <c r="E80" s="62">
        <v>13239</v>
      </c>
      <c r="F80" s="62">
        <f t="shared" si="254"/>
        <v>115</v>
      </c>
      <c r="G80" s="62">
        <v>15765</v>
      </c>
      <c r="H80" s="62">
        <f t="shared" si="255"/>
        <v>126</v>
      </c>
      <c r="I80" s="62">
        <v>480</v>
      </c>
      <c r="J80" s="62">
        <f t="shared" si="256"/>
        <v>22</v>
      </c>
      <c r="L80" s="1">
        <f t="shared" si="280"/>
        <v>220.7</v>
      </c>
      <c r="M80" s="1">
        <f t="shared" si="281"/>
        <v>2</v>
      </c>
      <c r="N80" s="42">
        <v>1</v>
      </c>
      <c r="O80" s="19">
        <f t="shared" si="282"/>
        <v>262.8</v>
      </c>
      <c r="P80" s="19">
        <f t="shared" si="283"/>
        <v>2.1</v>
      </c>
      <c r="Q80" s="44">
        <v>1</v>
      </c>
      <c r="R80" s="36">
        <f t="shared" si="284"/>
        <v>8</v>
      </c>
      <c r="S80" s="1">
        <f t="shared" si="285"/>
        <v>0.37</v>
      </c>
      <c r="T80" s="42">
        <v>2</v>
      </c>
      <c r="U80" s="45">
        <f t="shared" si="286"/>
        <v>5</v>
      </c>
      <c r="V80" s="1" t="s">
        <v>117</v>
      </c>
      <c r="W80" s="1">
        <v>1</v>
      </c>
    </row>
    <row r="81" spans="1:23">
      <c r="A81" s="21"/>
      <c r="B81" s="21"/>
      <c r="C81" s="21"/>
      <c r="D81" s="62">
        <v>10</v>
      </c>
      <c r="E81" s="62">
        <v>13017</v>
      </c>
      <c r="F81" s="62">
        <f t="shared" si="254"/>
        <v>114</v>
      </c>
      <c r="G81" s="62">
        <v>15845</v>
      </c>
      <c r="H81" s="62">
        <f t="shared" si="255"/>
        <v>126</v>
      </c>
      <c r="I81" s="62">
        <v>1166</v>
      </c>
      <c r="J81" s="62">
        <f t="shared" si="256"/>
        <v>34</v>
      </c>
      <c r="K81" s="49"/>
      <c r="L81" s="43">
        <f t="shared" si="280"/>
        <v>217</v>
      </c>
      <c r="M81" s="1">
        <f t="shared" si="281"/>
        <v>1.9</v>
      </c>
      <c r="N81" s="42">
        <v>1</v>
      </c>
      <c r="O81" s="19">
        <f t="shared" si="282"/>
        <v>264.10000000000002</v>
      </c>
      <c r="P81" s="19">
        <f t="shared" si="283"/>
        <v>2.1</v>
      </c>
      <c r="Q81" s="44">
        <v>1</v>
      </c>
      <c r="R81" s="1">
        <f t="shared" si="284"/>
        <v>19.43</v>
      </c>
      <c r="S81" s="1">
        <f t="shared" si="285"/>
        <v>0.56999999999999995</v>
      </c>
      <c r="T81" s="42">
        <v>2</v>
      </c>
      <c r="U81" s="45">
        <f t="shared" si="286"/>
        <v>10</v>
      </c>
    </row>
    <row r="82" spans="1:23">
      <c r="A82" s="21"/>
      <c r="B82" s="21"/>
      <c r="C82" s="21"/>
      <c r="D82" s="62">
        <v>15</v>
      </c>
      <c r="E82" s="62">
        <v>13027</v>
      </c>
      <c r="F82" s="62">
        <f t="shared" si="254"/>
        <v>114</v>
      </c>
      <c r="G82" s="62">
        <v>16476</v>
      </c>
      <c r="H82" s="62">
        <f t="shared" si="255"/>
        <v>128</v>
      </c>
      <c r="I82" s="62">
        <v>2242</v>
      </c>
      <c r="J82" s="62">
        <f t="shared" si="256"/>
        <v>47</v>
      </c>
      <c r="K82" s="49">
        <f>0.02*I82</f>
        <v>44.84</v>
      </c>
      <c r="L82" s="1">
        <f t="shared" si="280"/>
        <v>217.1</v>
      </c>
      <c r="M82" s="1">
        <f t="shared" si="281"/>
        <v>1.9</v>
      </c>
      <c r="N82" s="42">
        <v>1</v>
      </c>
      <c r="O82" s="19">
        <f t="shared" si="282"/>
        <v>274.60000000000002</v>
      </c>
      <c r="P82" s="19">
        <f t="shared" si="283"/>
        <v>2.2000000000000002</v>
      </c>
      <c r="Q82" s="44">
        <v>1</v>
      </c>
      <c r="R82" s="1">
        <f t="shared" si="284"/>
        <v>37.369999999999997</v>
      </c>
      <c r="S82" s="1">
        <f t="shared" si="285"/>
        <v>0.79</v>
      </c>
      <c r="T82" s="42">
        <v>2</v>
      </c>
      <c r="U82" s="45">
        <f t="shared" si="286"/>
        <v>15</v>
      </c>
    </row>
    <row r="83" spans="1:23">
      <c r="A83" s="21"/>
      <c r="B83" s="21"/>
      <c r="C83" s="21"/>
      <c r="D83" s="62">
        <v>20</v>
      </c>
      <c r="E83" s="62">
        <v>13085</v>
      </c>
      <c r="F83" s="62">
        <f t="shared" si="254"/>
        <v>114</v>
      </c>
      <c r="G83" s="62">
        <v>16884</v>
      </c>
      <c r="H83" s="62">
        <f t="shared" si="255"/>
        <v>130</v>
      </c>
      <c r="I83" s="62">
        <v>1941</v>
      </c>
      <c r="J83" s="62">
        <f t="shared" si="256"/>
        <v>44</v>
      </c>
      <c r="L83" s="1">
        <f t="shared" si="280"/>
        <v>218.1</v>
      </c>
      <c r="M83" s="1">
        <f t="shared" si="281"/>
        <v>1.9</v>
      </c>
      <c r="N83" s="42">
        <v>1</v>
      </c>
      <c r="O83" s="19">
        <f t="shared" si="282"/>
        <v>281.39999999999998</v>
      </c>
      <c r="P83" s="19">
        <f t="shared" si="283"/>
        <v>2.2000000000000002</v>
      </c>
      <c r="Q83" s="44">
        <v>1</v>
      </c>
      <c r="R83" s="1">
        <f t="shared" si="284"/>
        <v>32.35</v>
      </c>
      <c r="S83" s="1">
        <f t="shared" si="285"/>
        <v>0.74</v>
      </c>
      <c r="T83" s="42">
        <v>2</v>
      </c>
      <c r="U83" s="45">
        <f t="shared" si="286"/>
        <v>20</v>
      </c>
    </row>
    <row r="84" spans="1:23">
      <c r="A84" s="21"/>
      <c r="B84" s="21"/>
      <c r="C84" s="21"/>
      <c r="D84" s="62">
        <v>25</v>
      </c>
      <c r="E84" s="62">
        <v>13158</v>
      </c>
      <c r="F84" s="62">
        <f t="shared" si="254"/>
        <v>115</v>
      </c>
      <c r="G84" s="62">
        <v>17328</v>
      </c>
      <c r="H84" s="62">
        <f t="shared" si="255"/>
        <v>132</v>
      </c>
      <c r="I84" s="62">
        <v>1149</v>
      </c>
      <c r="J84" s="62">
        <f t="shared" si="256"/>
        <v>34</v>
      </c>
      <c r="L84" s="1">
        <f t="shared" si="280"/>
        <v>219.3</v>
      </c>
      <c r="M84" s="1">
        <f t="shared" si="281"/>
        <v>2</v>
      </c>
      <c r="N84" s="42">
        <v>1</v>
      </c>
      <c r="O84" s="19">
        <f t="shared" si="282"/>
        <v>288.8</v>
      </c>
      <c r="P84" s="19">
        <f t="shared" si="283"/>
        <v>2.2000000000000002</v>
      </c>
      <c r="Q84" s="44">
        <v>1</v>
      </c>
      <c r="R84" s="1">
        <f t="shared" si="284"/>
        <v>19.149999999999999</v>
      </c>
      <c r="S84" s="1">
        <f t="shared" si="285"/>
        <v>0.56999999999999995</v>
      </c>
      <c r="T84" s="42">
        <v>2</v>
      </c>
      <c r="U84" s="45">
        <f t="shared" si="286"/>
        <v>25</v>
      </c>
    </row>
    <row r="85" spans="1:23">
      <c r="A85" s="21"/>
      <c r="B85" s="21"/>
      <c r="C85" s="21"/>
      <c r="D85" s="62">
        <v>30</v>
      </c>
      <c r="E85" s="62">
        <v>13313</v>
      </c>
      <c r="F85" s="62">
        <f t="shared" si="254"/>
        <v>115</v>
      </c>
      <c r="G85" s="62">
        <v>17780</v>
      </c>
      <c r="H85" s="62">
        <f t="shared" si="255"/>
        <v>133</v>
      </c>
      <c r="I85" s="62">
        <v>235</v>
      </c>
      <c r="J85" s="62">
        <f t="shared" si="256"/>
        <v>15</v>
      </c>
      <c r="L85" s="1">
        <f t="shared" si="280"/>
        <v>221.9</v>
      </c>
      <c r="M85" s="1">
        <f t="shared" si="281"/>
        <v>2</v>
      </c>
      <c r="N85" s="42">
        <v>1</v>
      </c>
      <c r="O85" s="19">
        <f t="shared" si="282"/>
        <v>296.3</v>
      </c>
      <c r="P85" s="19">
        <f t="shared" si="283"/>
        <v>2.2999999999999998</v>
      </c>
      <c r="Q85" s="44">
        <v>1</v>
      </c>
      <c r="R85" s="1">
        <f t="shared" si="284"/>
        <v>3.92</v>
      </c>
      <c r="S85" s="1">
        <f t="shared" si="285"/>
        <v>0.25</v>
      </c>
      <c r="T85" s="42">
        <v>2</v>
      </c>
      <c r="U85" s="45">
        <f t="shared" si="286"/>
        <v>30</v>
      </c>
    </row>
    <row r="86" spans="1:23">
      <c r="A86" s="21"/>
      <c r="B86" s="21"/>
      <c r="C86" s="21"/>
      <c r="D86" s="62">
        <v>35</v>
      </c>
      <c r="E86" s="62">
        <v>13081</v>
      </c>
      <c r="F86" s="62">
        <f t="shared" si="254"/>
        <v>114</v>
      </c>
      <c r="G86" s="62">
        <v>18039</v>
      </c>
      <c r="H86" s="62">
        <f t="shared" si="255"/>
        <v>134</v>
      </c>
      <c r="I86" s="62">
        <v>39</v>
      </c>
      <c r="J86" s="62">
        <f t="shared" si="256"/>
        <v>6</v>
      </c>
      <c r="L86" s="43">
        <f t="shared" si="280"/>
        <v>218</v>
      </c>
      <c r="M86" s="1">
        <f t="shared" si="281"/>
        <v>1.9</v>
      </c>
      <c r="N86" s="42">
        <v>1</v>
      </c>
      <c r="O86" s="19">
        <f t="shared" si="282"/>
        <v>300.7</v>
      </c>
      <c r="P86" s="19">
        <f t="shared" si="283"/>
        <v>2.2999999999999998</v>
      </c>
      <c r="Q86" s="44">
        <v>1</v>
      </c>
      <c r="R86" s="1">
        <f t="shared" si="284"/>
        <v>0.65</v>
      </c>
      <c r="S86" s="36">
        <f t="shared" si="285"/>
        <v>0.1</v>
      </c>
      <c r="T86" s="42">
        <v>2</v>
      </c>
      <c r="U86" s="45">
        <f t="shared" si="286"/>
        <v>35</v>
      </c>
    </row>
    <row r="87" spans="1:23">
      <c r="A87" s="1">
        <v>3.75</v>
      </c>
      <c r="B87" s="49">
        <v>3</v>
      </c>
      <c r="C87" s="21">
        <v>0.05</v>
      </c>
      <c r="D87" s="1">
        <v>-20</v>
      </c>
      <c r="F87" s="1">
        <f t="shared" si="254"/>
        <v>0</v>
      </c>
      <c r="H87" s="1">
        <f t="shared" si="255"/>
        <v>0</v>
      </c>
      <c r="J87" s="1">
        <f t="shared" si="256"/>
        <v>0</v>
      </c>
      <c r="O87" s="19"/>
      <c r="P87" s="19"/>
      <c r="Q87" s="19"/>
    </row>
    <row r="88" spans="1:23">
      <c r="D88" s="1">
        <v>-15</v>
      </c>
      <c r="F88" s="1">
        <f t="shared" si="254"/>
        <v>0</v>
      </c>
      <c r="H88" s="1">
        <f t="shared" si="255"/>
        <v>0</v>
      </c>
      <c r="J88" s="1">
        <f t="shared" si="256"/>
        <v>0</v>
      </c>
      <c r="O88" s="19"/>
      <c r="P88" s="19"/>
      <c r="Q88" s="19"/>
    </row>
    <row r="89" spans="1:23">
      <c r="D89" s="1">
        <v>-10</v>
      </c>
      <c r="F89" s="1">
        <f t="shared" si="254"/>
        <v>0</v>
      </c>
      <c r="H89" s="1">
        <f t="shared" si="255"/>
        <v>0</v>
      </c>
      <c r="J89" s="1">
        <f t="shared" si="256"/>
        <v>0</v>
      </c>
      <c r="O89" s="19"/>
      <c r="P89" s="19"/>
      <c r="Q89" s="19"/>
    </row>
    <row r="90" spans="1:23">
      <c r="D90" s="1">
        <v>-5</v>
      </c>
      <c r="F90" s="1">
        <f t="shared" si="254"/>
        <v>0</v>
      </c>
      <c r="H90" s="1">
        <f t="shared" si="255"/>
        <v>0</v>
      </c>
      <c r="J90" s="1">
        <f t="shared" si="256"/>
        <v>0</v>
      </c>
      <c r="L90" s="42" t="s">
        <v>104</v>
      </c>
      <c r="M90" s="42" t="s">
        <v>44</v>
      </c>
      <c r="N90" s="42" t="s">
        <v>105</v>
      </c>
      <c r="O90" s="44" t="s">
        <v>106</v>
      </c>
      <c r="P90" s="44" t="s">
        <v>44</v>
      </c>
      <c r="Q90" s="44" t="s">
        <v>105</v>
      </c>
      <c r="R90" s="42" t="s">
        <v>107</v>
      </c>
      <c r="S90" s="42" t="s">
        <v>44</v>
      </c>
      <c r="T90" s="42" t="s">
        <v>105</v>
      </c>
      <c r="V90" s="1" t="s">
        <v>108</v>
      </c>
      <c r="W90" s="1" t="s">
        <v>44</v>
      </c>
    </row>
    <row r="91" spans="1:23">
      <c r="D91" s="62">
        <v>0</v>
      </c>
      <c r="E91" s="62">
        <v>12793</v>
      </c>
      <c r="F91" s="62">
        <f t="shared" si="254"/>
        <v>113</v>
      </c>
      <c r="G91" s="62">
        <v>14846</v>
      </c>
      <c r="H91" s="62">
        <f t="shared" si="255"/>
        <v>122</v>
      </c>
      <c r="I91" s="62">
        <v>27</v>
      </c>
      <c r="J91" s="64">
        <f t="shared" si="256"/>
        <v>5</v>
      </c>
      <c r="L91" s="1">
        <f t="shared" ref="L91:L101" si="287">ROUND(E91/$H$3,N91)</f>
        <v>213.2</v>
      </c>
      <c r="M91" s="1">
        <f t="shared" ref="M91:M101" si="288">ROUND(  ABS(F91/$H$3) + ABS(E91*$I$3/$H$3/$H$3),N91)</f>
        <v>1.9</v>
      </c>
      <c r="N91" s="42">
        <v>1</v>
      </c>
      <c r="O91" s="19">
        <f t="shared" ref="O91:O101" si="289">ROUND(G91/$H$3,Q91)</f>
        <v>247.4</v>
      </c>
      <c r="P91" s="19">
        <f t="shared" ref="P91:P101" si="290">ROUND(  ABS(H91/$H$3) + ABS(G91*$I$3/$H$3/$H$3),Q91)</f>
        <v>2.1</v>
      </c>
      <c r="Q91" s="44">
        <v>1</v>
      </c>
      <c r="R91" s="1">
        <f t="shared" ref="R91:R101" si="291">ROUND(I91/$H$3,T91)</f>
        <v>0.45</v>
      </c>
      <c r="S91" s="1">
        <f t="shared" ref="S91:S101" si="292">ROUND(  ABS(J91/$H$3) + ABS(I91*$I$3/$H$3/$H$3),T91)</f>
        <v>0.08</v>
      </c>
      <c r="T91" s="42">
        <v>2</v>
      </c>
      <c r="U91" s="45">
        <f t="shared" ref="U91:U101" si="293">D91</f>
        <v>0</v>
      </c>
      <c r="V91" s="1">
        <f>AVERAGE(L91:L101)</f>
        <v>213.40909090909091</v>
      </c>
      <c r="W91" s="1">
        <f>SQRT(SUMSQ(M91:M101)) /11</f>
        <v>0.57287155469775086</v>
      </c>
    </row>
    <row r="92" spans="1:23">
      <c r="D92" s="62">
        <v>5</v>
      </c>
      <c r="E92" s="62">
        <v>12935</v>
      </c>
      <c r="F92" s="62">
        <f t="shared" si="254"/>
        <v>114</v>
      </c>
      <c r="G92" s="62">
        <v>15274</v>
      </c>
      <c r="H92" s="62">
        <f t="shared" si="255"/>
        <v>124</v>
      </c>
      <c r="I92" s="62">
        <v>39</v>
      </c>
      <c r="J92" s="64">
        <f t="shared" si="256"/>
        <v>6</v>
      </c>
      <c r="L92" s="1">
        <f t="shared" si="287"/>
        <v>215.6</v>
      </c>
      <c r="M92" s="1">
        <f t="shared" si="288"/>
        <v>1.9</v>
      </c>
      <c r="N92" s="42">
        <v>1</v>
      </c>
      <c r="O92" s="19">
        <f t="shared" si="289"/>
        <v>254.6</v>
      </c>
      <c r="P92" s="19">
        <f t="shared" si="290"/>
        <v>2.1</v>
      </c>
      <c r="Q92" s="44">
        <v>1</v>
      </c>
      <c r="R92" s="1">
        <f t="shared" si="291"/>
        <v>0.65</v>
      </c>
      <c r="S92" s="36">
        <f t="shared" si="292"/>
        <v>0.1</v>
      </c>
      <c r="T92" s="42">
        <v>2</v>
      </c>
      <c r="U92" s="45">
        <f t="shared" si="293"/>
        <v>5</v>
      </c>
      <c r="V92" s="19">
        <f>ROUND(V91,W93)</f>
        <v>213.4</v>
      </c>
      <c r="W92" s="19">
        <f>ROUND(W91,W93)</f>
        <v>0.6</v>
      </c>
    </row>
    <row r="93" spans="1:23">
      <c r="D93" s="62">
        <v>10</v>
      </c>
      <c r="E93" s="62">
        <v>12872</v>
      </c>
      <c r="F93" s="62">
        <f t="shared" si="254"/>
        <v>113</v>
      </c>
      <c r="G93" s="62">
        <v>15935</v>
      </c>
      <c r="H93" s="62">
        <f t="shared" si="255"/>
        <v>126</v>
      </c>
      <c r="I93" s="62">
        <v>146</v>
      </c>
      <c r="J93" s="64">
        <f t="shared" si="256"/>
        <v>12</v>
      </c>
      <c r="L93" s="1">
        <f t="shared" si="287"/>
        <v>214.5</v>
      </c>
      <c r="M93" s="1">
        <f t="shared" si="288"/>
        <v>1.9</v>
      </c>
      <c r="N93" s="42">
        <v>1</v>
      </c>
      <c r="O93" s="19">
        <f t="shared" si="289"/>
        <v>265.60000000000002</v>
      </c>
      <c r="P93" s="19">
        <f t="shared" si="290"/>
        <v>2.1</v>
      </c>
      <c r="Q93" s="44">
        <v>1</v>
      </c>
      <c r="R93" s="1">
        <f t="shared" si="291"/>
        <v>2.4300000000000002</v>
      </c>
      <c r="S93" s="36">
        <f t="shared" si="292"/>
        <v>0.2</v>
      </c>
      <c r="T93" s="42">
        <v>2</v>
      </c>
      <c r="U93" s="45">
        <f t="shared" si="293"/>
        <v>10</v>
      </c>
      <c r="V93" s="1" t="s">
        <v>117</v>
      </c>
      <c r="W93" s="1">
        <v>1</v>
      </c>
    </row>
    <row r="94" spans="1:23">
      <c r="D94" s="62">
        <v>15</v>
      </c>
      <c r="E94" s="62">
        <v>12785</v>
      </c>
      <c r="F94" s="62">
        <f t="shared" si="254"/>
        <v>113</v>
      </c>
      <c r="G94" s="62">
        <v>16418</v>
      </c>
      <c r="H94" s="62">
        <f t="shared" si="255"/>
        <v>128</v>
      </c>
      <c r="I94" s="62">
        <v>788</v>
      </c>
      <c r="J94" s="64">
        <f t="shared" si="256"/>
        <v>28</v>
      </c>
      <c r="L94" s="1">
        <f t="shared" si="287"/>
        <v>213.1</v>
      </c>
      <c r="M94" s="1">
        <f t="shared" si="288"/>
        <v>1.9</v>
      </c>
      <c r="N94" s="42">
        <v>1</v>
      </c>
      <c r="O94" s="19">
        <f t="shared" si="289"/>
        <v>273.60000000000002</v>
      </c>
      <c r="P94" s="19">
        <f t="shared" si="290"/>
        <v>2.2000000000000002</v>
      </c>
      <c r="Q94" s="44">
        <v>1</v>
      </c>
      <c r="R94" s="1">
        <f t="shared" si="291"/>
        <v>13.1</v>
      </c>
      <c r="S94" s="1">
        <f t="shared" si="292"/>
        <v>0.5</v>
      </c>
      <c r="T94" s="42">
        <v>1</v>
      </c>
      <c r="U94" s="45">
        <f t="shared" si="293"/>
        <v>15</v>
      </c>
    </row>
    <row r="95" spans="1:23">
      <c r="D95" s="62">
        <v>20</v>
      </c>
      <c r="E95" s="62">
        <v>12921</v>
      </c>
      <c r="F95" s="62">
        <f t="shared" si="254"/>
        <v>114</v>
      </c>
      <c r="G95" s="62">
        <v>17091</v>
      </c>
      <c r="H95" s="62">
        <f t="shared" si="255"/>
        <v>131</v>
      </c>
      <c r="I95" s="62">
        <v>1807</v>
      </c>
      <c r="J95" s="64">
        <f t="shared" si="256"/>
        <v>43</v>
      </c>
      <c r="K95" s="49"/>
      <c r="L95" s="1">
        <f t="shared" si="287"/>
        <v>215.4</v>
      </c>
      <c r="M95" s="1">
        <f t="shared" si="288"/>
        <v>1.9</v>
      </c>
      <c r="N95" s="42">
        <v>1</v>
      </c>
      <c r="O95" s="19">
        <f t="shared" si="289"/>
        <v>284.89999999999998</v>
      </c>
      <c r="P95" s="19">
        <f t="shared" si="290"/>
        <v>2.2000000000000002</v>
      </c>
      <c r="Q95" s="44">
        <v>1</v>
      </c>
      <c r="R95" s="1">
        <f t="shared" si="291"/>
        <v>30.12</v>
      </c>
      <c r="S95" s="1">
        <f t="shared" si="292"/>
        <v>0.72</v>
      </c>
      <c r="T95" s="42">
        <v>2</v>
      </c>
      <c r="U95" s="45">
        <f t="shared" si="293"/>
        <v>20</v>
      </c>
    </row>
    <row r="96" spans="1:23">
      <c r="D96" s="62">
        <v>25</v>
      </c>
      <c r="E96" s="62">
        <v>12705</v>
      </c>
      <c r="F96" s="62">
        <f t="shared" si="254"/>
        <v>113</v>
      </c>
      <c r="G96" s="62">
        <v>17906</v>
      </c>
      <c r="H96" s="62">
        <f t="shared" si="255"/>
        <v>134</v>
      </c>
      <c r="I96" s="62">
        <v>2336</v>
      </c>
      <c r="J96" s="64">
        <f t="shared" si="256"/>
        <v>48</v>
      </c>
      <c r="K96" s="49">
        <f>0.02*I96</f>
        <v>46.72</v>
      </c>
      <c r="L96" s="1">
        <f t="shared" si="287"/>
        <v>211.8</v>
      </c>
      <c r="M96" s="1">
        <f t="shared" si="288"/>
        <v>1.9</v>
      </c>
      <c r="N96" s="42">
        <v>1</v>
      </c>
      <c r="O96" s="19">
        <f t="shared" si="289"/>
        <v>298.39999999999998</v>
      </c>
      <c r="P96" s="19">
        <f t="shared" si="290"/>
        <v>2.2999999999999998</v>
      </c>
      <c r="Q96" s="44">
        <v>1</v>
      </c>
      <c r="R96" s="1">
        <f t="shared" si="291"/>
        <v>38.93</v>
      </c>
      <c r="S96" s="1">
        <f t="shared" si="292"/>
        <v>0.81</v>
      </c>
      <c r="T96" s="42">
        <v>2</v>
      </c>
      <c r="U96" s="45">
        <f t="shared" si="293"/>
        <v>25</v>
      </c>
    </row>
    <row r="97" spans="1:23">
      <c r="D97" s="62">
        <v>30</v>
      </c>
      <c r="E97" s="62">
        <v>12873</v>
      </c>
      <c r="F97" s="62">
        <f t="shared" si="254"/>
        <v>113</v>
      </c>
      <c r="G97" s="62">
        <v>18215</v>
      </c>
      <c r="H97" s="62">
        <f t="shared" si="255"/>
        <v>135</v>
      </c>
      <c r="I97" s="62">
        <v>1590</v>
      </c>
      <c r="J97" s="64">
        <f t="shared" si="256"/>
        <v>40</v>
      </c>
      <c r="L97" s="1">
        <f t="shared" si="287"/>
        <v>214.6</v>
      </c>
      <c r="M97" s="1">
        <f t="shared" si="288"/>
        <v>1.9</v>
      </c>
      <c r="N97" s="42">
        <v>1</v>
      </c>
      <c r="O97" s="19">
        <f t="shared" si="289"/>
        <v>303.60000000000002</v>
      </c>
      <c r="P97" s="19">
        <f t="shared" si="290"/>
        <v>2.2999999999999998</v>
      </c>
      <c r="Q97" s="44">
        <v>1</v>
      </c>
      <c r="R97" s="36">
        <f t="shared" si="291"/>
        <v>26.5</v>
      </c>
      <c r="S97" s="1">
        <f t="shared" si="292"/>
        <v>0.67</v>
      </c>
      <c r="T97" s="42">
        <v>2</v>
      </c>
      <c r="U97" s="45">
        <f t="shared" si="293"/>
        <v>30</v>
      </c>
    </row>
    <row r="98" spans="1:23">
      <c r="D98" s="62">
        <v>35</v>
      </c>
      <c r="E98" s="62">
        <v>12531</v>
      </c>
      <c r="F98" s="62">
        <f t="shared" si="254"/>
        <v>112</v>
      </c>
      <c r="G98" s="62">
        <v>19076</v>
      </c>
      <c r="H98" s="62">
        <f t="shared" si="255"/>
        <v>138</v>
      </c>
      <c r="I98" s="62">
        <v>588</v>
      </c>
      <c r="J98" s="64">
        <f t="shared" si="256"/>
        <v>24</v>
      </c>
      <c r="L98" s="1">
        <f t="shared" si="287"/>
        <v>208.9</v>
      </c>
      <c r="M98" s="1">
        <f t="shared" si="288"/>
        <v>1.9</v>
      </c>
      <c r="N98" s="42">
        <v>1</v>
      </c>
      <c r="O98" s="19">
        <f t="shared" si="289"/>
        <v>317.89999999999998</v>
      </c>
      <c r="P98" s="19">
        <f t="shared" si="290"/>
        <v>2.4</v>
      </c>
      <c r="Q98" s="44">
        <v>1</v>
      </c>
      <c r="R98" s="36">
        <f t="shared" si="291"/>
        <v>9.8000000000000007</v>
      </c>
      <c r="S98" s="36">
        <f t="shared" si="292"/>
        <v>0.4</v>
      </c>
      <c r="T98" s="42">
        <v>2</v>
      </c>
      <c r="U98" s="45">
        <f t="shared" si="293"/>
        <v>35</v>
      </c>
    </row>
    <row r="99" spans="1:23">
      <c r="D99" s="62">
        <v>40</v>
      </c>
      <c r="E99" s="62">
        <v>12896</v>
      </c>
      <c r="F99" s="62">
        <f t="shared" si="254"/>
        <v>114</v>
      </c>
      <c r="G99" s="62">
        <v>19687</v>
      </c>
      <c r="H99" s="62">
        <f t="shared" si="255"/>
        <v>140</v>
      </c>
      <c r="I99" s="62">
        <v>67</v>
      </c>
      <c r="J99" s="64">
        <f t="shared" si="256"/>
        <v>8</v>
      </c>
      <c r="L99" s="1">
        <f t="shared" si="287"/>
        <v>214.9</v>
      </c>
      <c r="M99" s="1">
        <f t="shared" si="288"/>
        <v>1.9</v>
      </c>
      <c r="N99" s="42">
        <v>1</v>
      </c>
      <c r="O99" s="19">
        <f t="shared" si="289"/>
        <v>328.1</v>
      </c>
      <c r="P99" s="19">
        <f t="shared" si="290"/>
        <v>2.4</v>
      </c>
      <c r="Q99" s="44">
        <v>1</v>
      </c>
      <c r="R99" s="1">
        <f t="shared" si="291"/>
        <v>1.1000000000000001</v>
      </c>
      <c r="S99" s="1">
        <f t="shared" si="292"/>
        <v>0.1</v>
      </c>
      <c r="T99" s="42">
        <v>1</v>
      </c>
      <c r="U99" s="45">
        <f t="shared" si="293"/>
        <v>40</v>
      </c>
    </row>
    <row r="100" spans="1:23">
      <c r="D100" s="62">
        <v>45</v>
      </c>
      <c r="E100" s="62">
        <v>12754</v>
      </c>
      <c r="F100" s="62">
        <f t="shared" si="254"/>
        <v>113</v>
      </c>
      <c r="G100" s="62">
        <v>20557</v>
      </c>
      <c r="H100" s="62">
        <f t="shared" si="255"/>
        <v>143</v>
      </c>
      <c r="I100" s="62">
        <v>43</v>
      </c>
      <c r="J100" s="64">
        <f t="shared" si="256"/>
        <v>7</v>
      </c>
      <c r="L100" s="1">
        <f t="shared" si="287"/>
        <v>212.6</v>
      </c>
      <c r="M100" s="1">
        <f t="shared" si="288"/>
        <v>1.9</v>
      </c>
      <c r="N100" s="42">
        <v>1</v>
      </c>
      <c r="O100" s="19">
        <f t="shared" si="289"/>
        <v>342.6</v>
      </c>
      <c r="P100" s="19">
        <f t="shared" si="290"/>
        <v>2.4</v>
      </c>
      <c r="Q100" s="44">
        <v>1</v>
      </c>
      <c r="R100" s="1">
        <f t="shared" si="291"/>
        <v>0.72</v>
      </c>
      <c r="S100" s="1">
        <f t="shared" si="292"/>
        <v>0.12</v>
      </c>
      <c r="T100" s="42">
        <v>2</v>
      </c>
      <c r="U100" s="45">
        <f t="shared" si="293"/>
        <v>45</v>
      </c>
    </row>
    <row r="101" spans="1:23">
      <c r="D101" s="65">
        <v>50</v>
      </c>
      <c r="E101" s="65">
        <v>12772</v>
      </c>
      <c r="F101" s="65">
        <f t="shared" si="254"/>
        <v>113</v>
      </c>
      <c r="G101" s="65">
        <v>21313</v>
      </c>
      <c r="H101" s="65">
        <f t="shared" si="255"/>
        <v>146</v>
      </c>
      <c r="I101" s="65">
        <v>27</v>
      </c>
      <c r="J101" s="65">
        <f t="shared" si="256"/>
        <v>5</v>
      </c>
      <c r="L101" s="1">
        <f t="shared" si="287"/>
        <v>212.9</v>
      </c>
      <c r="M101" s="1">
        <f t="shared" si="288"/>
        <v>1.9</v>
      </c>
      <c r="N101" s="42">
        <v>1</v>
      </c>
      <c r="O101" s="19">
        <f t="shared" si="289"/>
        <v>355.2</v>
      </c>
      <c r="P101" s="19">
        <f t="shared" si="290"/>
        <v>2.5</v>
      </c>
      <c r="Q101" s="44">
        <v>1</v>
      </c>
      <c r="R101" s="1">
        <f t="shared" si="291"/>
        <v>0.45</v>
      </c>
      <c r="S101" s="1">
        <f t="shared" si="292"/>
        <v>0.08</v>
      </c>
      <c r="T101" s="42">
        <v>2</v>
      </c>
      <c r="U101" s="45">
        <f t="shared" si="293"/>
        <v>50</v>
      </c>
    </row>
    <row r="102" spans="1:23">
      <c r="A102" s="21"/>
      <c r="B102" s="49"/>
      <c r="C102" s="21"/>
      <c r="D102" s="21"/>
      <c r="E102" s="21"/>
      <c r="F102" s="21"/>
      <c r="G102" s="21"/>
      <c r="H102" s="21"/>
      <c r="I102" s="21"/>
      <c r="J102" s="21"/>
      <c r="L102" s="42" t="s">
        <v>104</v>
      </c>
      <c r="M102" s="42" t="s">
        <v>44</v>
      </c>
      <c r="N102" s="42" t="s">
        <v>105</v>
      </c>
      <c r="O102" s="44" t="s">
        <v>106</v>
      </c>
      <c r="P102" s="44" t="s">
        <v>44</v>
      </c>
      <c r="Q102" s="44" t="s">
        <v>105</v>
      </c>
      <c r="R102" s="42" t="s">
        <v>107</v>
      </c>
      <c r="S102" s="42" t="s">
        <v>44</v>
      </c>
      <c r="T102" s="42" t="s">
        <v>105</v>
      </c>
      <c r="V102" s="1" t="s">
        <v>108</v>
      </c>
      <c r="W102" s="1" t="s">
        <v>44</v>
      </c>
    </row>
    <row r="103" spans="1:23">
      <c r="A103" s="21">
        <v>5</v>
      </c>
      <c r="B103" s="49">
        <v>4</v>
      </c>
      <c r="C103" s="21">
        <v>0.05</v>
      </c>
      <c r="D103" s="66">
        <v>0</v>
      </c>
      <c r="E103" s="65">
        <v>12508</v>
      </c>
      <c r="F103" s="65">
        <f t="shared" ref="F103:F114" si="294">ROUND(SQRT(E103),0)</f>
        <v>112</v>
      </c>
      <c r="G103" s="65">
        <v>14197</v>
      </c>
      <c r="H103" s="65">
        <f t="shared" ref="H103:H114" si="295">ROUND(SQRT(G103),0)</f>
        <v>119</v>
      </c>
      <c r="I103" s="65">
        <v>23</v>
      </c>
      <c r="J103" s="65">
        <f t="shared" ref="J103:J114" si="296">ROUND(SQRT(I103),0)</f>
        <v>5</v>
      </c>
      <c r="L103" s="1">
        <f t="shared" ref="L103:L114" si="297">ROUND(E103/$H$3,N103)</f>
        <v>208.5</v>
      </c>
      <c r="M103" s="1">
        <f t="shared" ref="M103:M114" si="298">ROUND(  ABS(F103/$H$3) + ABS(E103*$I$3/$H$3/$H$3),N103)</f>
        <v>1.9</v>
      </c>
      <c r="N103" s="42">
        <v>1</v>
      </c>
      <c r="O103" s="19">
        <f t="shared" ref="O103:O114" si="299">ROUND(G103/$H$3,Q103)</f>
        <v>236.6</v>
      </c>
      <c r="P103" s="26">
        <f t="shared" ref="P103:P114" si="300">ROUND(  ABS(H103/$H$3) + ABS(G103*$I$3/$H$3/$H$3),Q103)</f>
        <v>2</v>
      </c>
      <c r="Q103" s="44">
        <v>1</v>
      </c>
      <c r="R103" s="1">
        <f t="shared" ref="R103:R114" si="301">ROUND(I103/$H$3,T103)</f>
        <v>0.38</v>
      </c>
      <c r="S103" s="1">
        <f t="shared" ref="S103:S114" si="302">ROUND(  ABS(J103/$H$3) + ABS(I103*$I$3/$H$3/$H$3),T103)</f>
        <v>0.08</v>
      </c>
      <c r="T103" s="42">
        <v>2</v>
      </c>
      <c r="U103" s="45">
        <f t="shared" ref="U103:U114" si="303">D103</f>
        <v>0</v>
      </c>
      <c r="V103" s="1">
        <f>AVERAGE(L103:L114)</f>
        <v>207.41666666666666</v>
      </c>
      <c r="W103" s="1">
        <f>SQRT(SUMSQ(M103:M116)) /12</f>
        <v>0.54848275573014449</v>
      </c>
    </row>
    <row r="104" spans="1:23">
      <c r="A104" s="21" t="s">
        <v>129</v>
      </c>
      <c r="B104" s="67">
        <v>0.47916666666666669</v>
      </c>
      <c r="C104" s="21"/>
      <c r="D104" s="66">
        <v>5</v>
      </c>
      <c r="E104" s="65">
        <v>12292</v>
      </c>
      <c r="F104" s="65">
        <f t="shared" si="294"/>
        <v>111</v>
      </c>
      <c r="G104" s="65">
        <v>14761</v>
      </c>
      <c r="H104" s="65">
        <f t="shared" si="295"/>
        <v>121</v>
      </c>
      <c r="I104" s="65">
        <v>29</v>
      </c>
      <c r="J104" s="65">
        <f t="shared" si="296"/>
        <v>5</v>
      </c>
      <c r="L104" s="1">
        <f t="shared" si="297"/>
        <v>204.9</v>
      </c>
      <c r="M104" s="1">
        <f t="shared" si="298"/>
        <v>1.9</v>
      </c>
      <c r="N104" s="42">
        <v>1</v>
      </c>
      <c r="O104" s="26">
        <f t="shared" si="299"/>
        <v>246</v>
      </c>
      <c r="P104" s="19">
        <f t="shared" si="300"/>
        <v>2.1</v>
      </c>
      <c r="Q104" s="44">
        <v>1</v>
      </c>
      <c r="R104" s="1">
        <f t="shared" si="301"/>
        <v>0.48</v>
      </c>
      <c r="S104" s="1">
        <f t="shared" si="302"/>
        <v>0.08</v>
      </c>
      <c r="T104" s="42">
        <v>2</v>
      </c>
      <c r="U104" s="45">
        <f t="shared" si="303"/>
        <v>5</v>
      </c>
      <c r="V104" s="19">
        <f>ROUND(V103,W105)</f>
        <v>207.4</v>
      </c>
      <c r="W104" s="19">
        <f>ROUND(W103,W105)</f>
        <v>0.5</v>
      </c>
    </row>
    <row r="105" spans="1:23">
      <c r="A105" s="21"/>
      <c r="B105" s="21"/>
      <c r="C105" s="21"/>
      <c r="D105" s="66">
        <v>10</v>
      </c>
      <c r="E105" s="65">
        <v>12480</v>
      </c>
      <c r="F105" s="65">
        <f t="shared" si="294"/>
        <v>112</v>
      </c>
      <c r="G105" s="65">
        <v>15668</v>
      </c>
      <c r="H105" s="65">
        <f t="shared" si="295"/>
        <v>125</v>
      </c>
      <c r="I105" s="65">
        <v>24</v>
      </c>
      <c r="J105" s="65">
        <f t="shared" si="296"/>
        <v>5</v>
      </c>
      <c r="L105" s="43">
        <f t="shared" si="297"/>
        <v>208</v>
      </c>
      <c r="M105" s="1">
        <f t="shared" si="298"/>
        <v>1.9</v>
      </c>
      <c r="N105" s="42">
        <v>1</v>
      </c>
      <c r="O105" s="19">
        <f t="shared" si="299"/>
        <v>261.10000000000002</v>
      </c>
      <c r="P105" s="19">
        <f t="shared" si="300"/>
        <v>2.1</v>
      </c>
      <c r="Q105" s="44">
        <v>1</v>
      </c>
      <c r="R105" s="36">
        <f t="shared" si="301"/>
        <v>0.4</v>
      </c>
      <c r="S105" s="1">
        <f t="shared" si="302"/>
        <v>0.08</v>
      </c>
      <c r="T105" s="42">
        <v>2</v>
      </c>
      <c r="U105" s="45">
        <f t="shared" si="303"/>
        <v>10</v>
      </c>
      <c r="V105" s="1" t="s">
        <v>117</v>
      </c>
      <c r="W105" s="1">
        <v>1</v>
      </c>
    </row>
    <row r="106" spans="1:23">
      <c r="A106" s="21"/>
      <c r="B106" s="21"/>
      <c r="C106" s="21"/>
      <c r="D106" s="66">
        <v>15</v>
      </c>
      <c r="E106" s="65">
        <v>12375</v>
      </c>
      <c r="F106" s="65">
        <f t="shared" si="294"/>
        <v>111</v>
      </c>
      <c r="G106" s="65">
        <v>16491</v>
      </c>
      <c r="H106" s="65">
        <f t="shared" si="295"/>
        <v>128</v>
      </c>
      <c r="I106" s="65">
        <v>32</v>
      </c>
      <c r="J106" s="65">
        <f t="shared" si="296"/>
        <v>6</v>
      </c>
      <c r="L106" s="1">
        <f t="shared" si="297"/>
        <v>206.3</v>
      </c>
      <c r="M106" s="1">
        <f t="shared" si="298"/>
        <v>1.9</v>
      </c>
      <c r="N106" s="42">
        <v>1</v>
      </c>
      <c r="O106" s="19">
        <f t="shared" si="299"/>
        <v>274.89999999999998</v>
      </c>
      <c r="P106" s="19">
        <f t="shared" si="300"/>
        <v>2.2000000000000002</v>
      </c>
      <c r="Q106" s="44">
        <v>1</v>
      </c>
      <c r="R106" s="1">
        <f t="shared" si="301"/>
        <v>0.53</v>
      </c>
      <c r="S106" s="36">
        <f t="shared" si="302"/>
        <v>0.1</v>
      </c>
      <c r="T106" s="42">
        <v>2</v>
      </c>
      <c r="U106" s="45">
        <f t="shared" si="303"/>
        <v>15</v>
      </c>
    </row>
    <row r="107" spans="1:23">
      <c r="A107" s="21"/>
      <c r="B107" s="21"/>
      <c r="C107" s="21"/>
      <c r="D107" s="66">
        <v>20</v>
      </c>
      <c r="E107" s="65">
        <v>12332</v>
      </c>
      <c r="F107" s="65">
        <f t="shared" si="294"/>
        <v>111</v>
      </c>
      <c r="G107" s="65">
        <v>17430</v>
      </c>
      <c r="H107" s="65">
        <f t="shared" si="295"/>
        <v>132</v>
      </c>
      <c r="I107" s="65">
        <v>388</v>
      </c>
      <c r="J107" s="65">
        <f t="shared" si="296"/>
        <v>20</v>
      </c>
      <c r="L107" s="1">
        <f t="shared" si="297"/>
        <v>205.5</v>
      </c>
      <c r="M107" s="1">
        <f t="shared" si="298"/>
        <v>1.9</v>
      </c>
      <c r="N107" s="42">
        <v>1</v>
      </c>
      <c r="O107" s="19">
        <f t="shared" si="299"/>
        <v>290.5</v>
      </c>
      <c r="P107" s="19">
        <f t="shared" si="300"/>
        <v>2.2000000000000002</v>
      </c>
      <c r="Q107" s="44">
        <v>1</v>
      </c>
      <c r="R107" s="1">
        <f t="shared" si="301"/>
        <v>6.47</v>
      </c>
      <c r="S107" s="1">
        <f t="shared" si="302"/>
        <v>0.33</v>
      </c>
      <c r="T107" s="42">
        <v>2</v>
      </c>
      <c r="U107" s="45">
        <f t="shared" si="303"/>
        <v>20</v>
      </c>
    </row>
    <row r="108" spans="1:23">
      <c r="A108" s="21"/>
      <c r="B108" s="21"/>
      <c r="C108" s="21"/>
      <c r="D108" s="65">
        <v>25</v>
      </c>
      <c r="E108" s="65">
        <v>12545</v>
      </c>
      <c r="F108" s="65">
        <f t="shared" si="294"/>
        <v>112</v>
      </c>
      <c r="G108" s="65">
        <v>18248</v>
      </c>
      <c r="H108" s="65">
        <f t="shared" si="295"/>
        <v>135</v>
      </c>
      <c r="I108" s="65">
        <v>1205</v>
      </c>
      <c r="J108" s="65">
        <f t="shared" si="296"/>
        <v>35</v>
      </c>
      <c r="L108" s="1">
        <f t="shared" si="297"/>
        <v>209.1</v>
      </c>
      <c r="M108" s="1">
        <f t="shared" si="298"/>
        <v>1.9</v>
      </c>
      <c r="N108" s="42">
        <v>1</v>
      </c>
      <c r="O108" s="19">
        <f t="shared" si="299"/>
        <v>304.10000000000002</v>
      </c>
      <c r="P108" s="19">
        <f t="shared" si="300"/>
        <v>2.2999999999999998</v>
      </c>
      <c r="Q108" s="44">
        <v>1</v>
      </c>
      <c r="R108" s="1">
        <f t="shared" si="301"/>
        <v>20.079999999999998</v>
      </c>
      <c r="S108" s="1">
        <f t="shared" si="302"/>
        <v>0.59</v>
      </c>
      <c r="T108" s="42">
        <v>2</v>
      </c>
      <c r="U108" s="45">
        <f t="shared" si="303"/>
        <v>25</v>
      </c>
    </row>
    <row r="109" spans="1:23">
      <c r="A109" s="21"/>
      <c r="B109" s="21"/>
      <c r="C109" s="21"/>
      <c r="D109" s="65">
        <v>30</v>
      </c>
      <c r="E109" s="65">
        <v>12415</v>
      </c>
      <c r="F109" s="65">
        <f t="shared" si="294"/>
        <v>111</v>
      </c>
      <c r="G109" s="65">
        <v>18763</v>
      </c>
      <c r="H109" s="65">
        <f t="shared" si="295"/>
        <v>137</v>
      </c>
      <c r="I109" s="65">
        <v>2121</v>
      </c>
      <c r="J109" s="65">
        <f t="shared" si="296"/>
        <v>46</v>
      </c>
      <c r="K109" s="49">
        <f>0.02*I109</f>
        <v>42.42</v>
      </c>
      <c r="L109" s="1">
        <f t="shared" si="297"/>
        <v>206.9</v>
      </c>
      <c r="M109" s="1">
        <f t="shared" si="298"/>
        <v>1.9</v>
      </c>
      <c r="N109" s="42">
        <v>1</v>
      </c>
      <c r="O109" s="19">
        <f t="shared" si="299"/>
        <v>312.7</v>
      </c>
      <c r="P109" s="19">
        <f t="shared" si="300"/>
        <v>2.2999999999999998</v>
      </c>
      <c r="Q109" s="44">
        <v>1</v>
      </c>
      <c r="R109" s="1">
        <f t="shared" si="301"/>
        <v>35.35</v>
      </c>
      <c r="S109" s="1">
        <f t="shared" si="302"/>
        <v>0.77</v>
      </c>
      <c r="T109" s="42">
        <v>2</v>
      </c>
      <c r="U109" s="45">
        <f t="shared" si="303"/>
        <v>30</v>
      </c>
    </row>
    <row r="110" spans="1:23">
      <c r="A110" s="21"/>
      <c r="B110" s="21"/>
      <c r="C110" s="21"/>
      <c r="D110" s="66">
        <v>35</v>
      </c>
      <c r="E110" s="68">
        <v>12394</v>
      </c>
      <c r="F110" s="66">
        <f t="shared" si="294"/>
        <v>111</v>
      </c>
      <c r="G110" s="68">
        <v>20002</v>
      </c>
      <c r="H110" s="66">
        <f t="shared" si="295"/>
        <v>141</v>
      </c>
      <c r="I110" s="68">
        <v>2029</v>
      </c>
      <c r="J110" s="66">
        <f t="shared" si="296"/>
        <v>45</v>
      </c>
      <c r="L110" s="1">
        <f t="shared" si="297"/>
        <v>206.6</v>
      </c>
      <c r="M110" s="1">
        <f t="shared" si="298"/>
        <v>1.9</v>
      </c>
      <c r="N110" s="42">
        <v>1</v>
      </c>
      <c r="O110" s="19">
        <f t="shared" si="299"/>
        <v>333.4</v>
      </c>
      <c r="P110" s="19">
        <f t="shared" si="300"/>
        <v>2.4</v>
      </c>
      <c r="Q110" s="44">
        <v>1</v>
      </c>
      <c r="R110" s="1">
        <f t="shared" si="301"/>
        <v>33.82</v>
      </c>
      <c r="S110" s="1">
        <f t="shared" si="302"/>
        <v>0.76</v>
      </c>
      <c r="T110" s="42">
        <v>2</v>
      </c>
      <c r="U110" s="45">
        <f t="shared" si="303"/>
        <v>35</v>
      </c>
    </row>
    <row r="111" spans="1:23">
      <c r="A111" s="69"/>
      <c r="B111" s="69"/>
      <c r="C111" s="69"/>
      <c r="D111" s="66">
        <v>40</v>
      </c>
      <c r="E111" s="68">
        <v>12518</v>
      </c>
      <c r="F111" s="66">
        <f t="shared" si="294"/>
        <v>112</v>
      </c>
      <c r="G111" s="68">
        <v>21292</v>
      </c>
      <c r="H111" s="66">
        <f t="shared" si="295"/>
        <v>146</v>
      </c>
      <c r="I111" s="68">
        <v>1145</v>
      </c>
      <c r="J111" s="66">
        <f t="shared" si="296"/>
        <v>34</v>
      </c>
      <c r="L111" s="1">
        <f t="shared" si="297"/>
        <v>208.6</v>
      </c>
      <c r="M111" s="1">
        <f t="shared" si="298"/>
        <v>1.9</v>
      </c>
      <c r="N111" s="42">
        <v>1</v>
      </c>
      <c r="O111" s="19">
        <f t="shared" si="299"/>
        <v>354.9</v>
      </c>
      <c r="P111" s="19">
        <f t="shared" si="300"/>
        <v>2.5</v>
      </c>
      <c r="Q111" s="44">
        <v>1</v>
      </c>
      <c r="R111" s="1">
        <f t="shared" si="301"/>
        <v>19.079999999999998</v>
      </c>
      <c r="S111" s="1">
        <f t="shared" si="302"/>
        <v>0.56999999999999995</v>
      </c>
      <c r="T111" s="42">
        <v>2</v>
      </c>
      <c r="U111" s="45">
        <f t="shared" si="303"/>
        <v>40</v>
      </c>
    </row>
    <row r="112" spans="1:23">
      <c r="A112" s="69"/>
      <c r="B112" s="69"/>
      <c r="C112" s="69"/>
      <c r="D112" s="66">
        <v>45</v>
      </c>
      <c r="E112" s="68">
        <v>12697</v>
      </c>
      <c r="F112" s="66">
        <f t="shared" si="294"/>
        <v>113</v>
      </c>
      <c r="G112" s="68">
        <v>22188</v>
      </c>
      <c r="H112" s="66">
        <f t="shared" si="295"/>
        <v>149</v>
      </c>
      <c r="I112" s="68">
        <v>231</v>
      </c>
      <c r="J112" s="66">
        <f t="shared" si="296"/>
        <v>15</v>
      </c>
      <c r="L112" s="1">
        <f t="shared" si="297"/>
        <v>211.6</v>
      </c>
      <c r="M112" s="1">
        <f t="shared" si="298"/>
        <v>1.9</v>
      </c>
      <c r="N112" s="42">
        <v>1</v>
      </c>
      <c r="O112" s="19">
        <f t="shared" si="299"/>
        <v>369.8</v>
      </c>
      <c r="P112" s="19">
        <f t="shared" si="300"/>
        <v>2.5</v>
      </c>
      <c r="Q112" s="44">
        <v>1</v>
      </c>
      <c r="R112" s="1">
        <f t="shared" si="301"/>
        <v>3.85</v>
      </c>
      <c r="S112" s="1">
        <f t="shared" si="302"/>
        <v>0.25</v>
      </c>
      <c r="T112" s="42">
        <v>2</v>
      </c>
      <c r="U112" s="45">
        <f t="shared" si="303"/>
        <v>45</v>
      </c>
    </row>
    <row r="113" spans="1:87">
      <c r="A113" s="69"/>
      <c r="B113" s="69"/>
      <c r="C113" s="69"/>
      <c r="D113" s="66">
        <v>50</v>
      </c>
      <c r="E113" s="68">
        <v>12325</v>
      </c>
      <c r="F113" s="66">
        <f t="shared" si="294"/>
        <v>111</v>
      </c>
      <c r="G113" s="68">
        <v>23391</v>
      </c>
      <c r="H113" s="66">
        <f t="shared" si="295"/>
        <v>153</v>
      </c>
      <c r="I113" s="68">
        <v>39</v>
      </c>
      <c r="J113" s="66">
        <f t="shared" si="296"/>
        <v>6</v>
      </c>
      <c r="L113" s="1">
        <f t="shared" si="297"/>
        <v>205.4</v>
      </c>
      <c r="M113" s="1">
        <f t="shared" si="298"/>
        <v>1.9</v>
      </c>
      <c r="N113" s="42">
        <v>1</v>
      </c>
      <c r="O113" s="19">
        <f t="shared" si="299"/>
        <v>389.9</v>
      </c>
      <c r="P113" s="19">
        <f t="shared" si="300"/>
        <v>2.6</v>
      </c>
      <c r="Q113" s="44">
        <v>1</v>
      </c>
      <c r="R113" s="1">
        <f t="shared" si="301"/>
        <v>0.65</v>
      </c>
      <c r="S113" s="36">
        <f t="shared" si="302"/>
        <v>0.1</v>
      </c>
      <c r="T113" s="42">
        <v>2</v>
      </c>
      <c r="U113" s="45">
        <f t="shared" si="303"/>
        <v>50</v>
      </c>
    </row>
    <row r="114" spans="1:87">
      <c r="A114" s="69"/>
      <c r="B114" s="69"/>
      <c r="C114" s="69"/>
      <c r="D114" s="66">
        <v>55</v>
      </c>
      <c r="E114" s="68">
        <v>12454</v>
      </c>
      <c r="F114" s="66">
        <f t="shared" si="294"/>
        <v>112</v>
      </c>
      <c r="G114" s="68">
        <v>24482</v>
      </c>
      <c r="H114" s="66">
        <f t="shared" si="295"/>
        <v>156</v>
      </c>
      <c r="I114" s="68">
        <v>36</v>
      </c>
      <c r="J114" s="66">
        <f t="shared" si="296"/>
        <v>6</v>
      </c>
      <c r="L114" s="1">
        <f t="shared" si="297"/>
        <v>207.6</v>
      </c>
      <c r="M114" s="1">
        <f t="shared" si="298"/>
        <v>1.9</v>
      </c>
      <c r="N114" s="42">
        <v>1</v>
      </c>
      <c r="O114" s="26">
        <f t="shared" si="299"/>
        <v>408</v>
      </c>
      <c r="P114" s="19">
        <f t="shared" si="300"/>
        <v>2.7</v>
      </c>
      <c r="Q114" s="44">
        <v>1</v>
      </c>
      <c r="R114" s="36">
        <f t="shared" si="301"/>
        <v>0.6</v>
      </c>
      <c r="S114" s="36">
        <f t="shared" si="302"/>
        <v>0.1</v>
      </c>
      <c r="T114" s="42">
        <v>2</v>
      </c>
      <c r="U114" s="45">
        <f t="shared" si="303"/>
        <v>55</v>
      </c>
    </row>
    <row r="115" spans="1:87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</row>
    <row r="116" spans="1:87">
      <c r="B116" s="1" t="s">
        <v>99</v>
      </c>
      <c r="C116" s="1">
        <v>90</v>
      </c>
      <c r="O116" s="19"/>
      <c r="P116" s="19" t="s">
        <v>130</v>
      </c>
      <c r="Q116" s="19">
        <v>1</v>
      </c>
      <c r="S116" s="1" t="s">
        <v>131</v>
      </c>
      <c r="T116" s="1">
        <f>'2-Fortuitas'!S14</f>
        <v>2.2200000000000001E-2</v>
      </c>
      <c r="U116" s="1">
        <f>'2-Fortuitas'!T14</f>
        <v>1.6999999999999999E-3</v>
      </c>
    </row>
    <row r="117" spans="1:87">
      <c r="A117" s="42"/>
      <c r="B117" s="71"/>
      <c r="C117" s="71" t="s">
        <v>132</v>
      </c>
      <c r="D117" s="71" t="s">
        <v>44</v>
      </c>
      <c r="E117" s="62" t="s">
        <v>47</v>
      </c>
      <c r="F117" s="62" t="s">
        <v>44</v>
      </c>
      <c r="G117" s="62" t="s">
        <v>48</v>
      </c>
      <c r="H117" s="62" t="s">
        <v>44</v>
      </c>
      <c r="I117" s="62" t="s">
        <v>49</v>
      </c>
      <c r="J117" s="62" t="s">
        <v>44</v>
      </c>
      <c r="M117" s="1" t="s">
        <v>133</v>
      </c>
      <c r="O117" s="19"/>
      <c r="P117" s="19" t="s">
        <v>134</v>
      </c>
      <c r="Q117" s="19" t="s">
        <v>44</v>
      </c>
      <c r="S117" s="1" t="s">
        <v>135</v>
      </c>
      <c r="T117" s="43">
        <f>'2-Fortuitas'!S15</f>
        <v>21</v>
      </c>
      <c r="U117" s="1">
        <f>'2-Fortuitas'!T15</f>
        <v>2.1</v>
      </c>
    </row>
    <row r="118" spans="1:87">
      <c r="B118" s="72">
        <v>-4</v>
      </c>
      <c r="C118" s="73">
        <v>-4</v>
      </c>
      <c r="D118" s="71">
        <v>0.05</v>
      </c>
      <c r="E118" s="62">
        <v>25579</v>
      </c>
      <c r="F118" s="62">
        <f t="shared" ref="F118:F126" si="304">ROUND(SQRT(E118),0)</f>
        <v>160</v>
      </c>
      <c r="G118" s="62">
        <v>9232</v>
      </c>
      <c r="H118" s="62">
        <f t="shared" ref="H118:H126" si="305">ROUND(SQRT(G118),0)</f>
        <v>96</v>
      </c>
      <c r="I118" s="62">
        <v>1521</v>
      </c>
      <c r="J118" s="62">
        <f t="shared" ref="J118:J126" si="306">ROUND(SQRT(I118),0)</f>
        <v>39</v>
      </c>
      <c r="K118" s="1">
        <f t="shared" ref="K118:L118" si="307">I118</f>
        <v>1521</v>
      </c>
      <c r="L118" s="1">
        <f t="shared" si="307"/>
        <v>39</v>
      </c>
      <c r="M118" s="36">
        <f t="shared" ref="M118:M126" si="308">C118</f>
        <v>-4</v>
      </c>
      <c r="O118" s="19">
        <f t="shared" ref="O118:O126" si="309">D118</f>
        <v>0.05</v>
      </c>
      <c r="P118" s="19">
        <f t="shared" ref="P118:P126" si="310">K118/$H$3</f>
        <v>25.35</v>
      </c>
      <c r="Q118" s="19">
        <f t="shared" ref="Q118:Q126" si="311">ABS(K118*$I$3/$H$3/$H$3)+ABS(L118/$H$3)</f>
        <v>0.65422500000000006</v>
      </c>
      <c r="S118" s="1" t="s">
        <v>136</v>
      </c>
      <c r="T118" s="36">
        <f>'2-Fortuitas'!R2</f>
        <v>120</v>
      </c>
      <c r="U118" s="36">
        <f>'2-Fortuitas'!S2</f>
        <v>0.6</v>
      </c>
    </row>
    <row r="119" spans="1:87">
      <c r="B119" s="72">
        <v>-3</v>
      </c>
      <c r="C119" s="73">
        <v>-3</v>
      </c>
      <c r="D119" s="71">
        <v>0.05</v>
      </c>
      <c r="E119" s="62">
        <v>21079</v>
      </c>
      <c r="F119" s="62">
        <f t="shared" si="304"/>
        <v>145</v>
      </c>
      <c r="G119" s="62">
        <v>10318</v>
      </c>
      <c r="H119" s="62">
        <f t="shared" si="305"/>
        <v>102</v>
      </c>
      <c r="I119" s="62">
        <v>1693</v>
      </c>
      <c r="J119" s="62">
        <f t="shared" si="306"/>
        <v>41</v>
      </c>
      <c r="K119" s="1">
        <f t="shared" ref="K119:L119" si="312">I119</f>
        <v>1693</v>
      </c>
      <c r="L119" s="1">
        <f t="shared" si="312"/>
        <v>41</v>
      </c>
      <c r="M119" s="36">
        <f t="shared" si="308"/>
        <v>-3</v>
      </c>
      <c r="O119" s="19">
        <f t="shared" si="309"/>
        <v>0.05</v>
      </c>
      <c r="P119" s="19">
        <f t="shared" si="310"/>
        <v>28.216666666666665</v>
      </c>
      <c r="Q119" s="19">
        <f t="shared" si="311"/>
        <v>0.68803611111111107</v>
      </c>
      <c r="S119" s="56" t="s">
        <v>137</v>
      </c>
      <c r="T119" s="56">
        <f>4.8*100</f>
        <v>480</v>
      </c>
      <c r="U119" s="1">
        <f>0.1*100</f>
        <v>10</v>
      </c>
    </row>
    <row r="120" spans="1:87">
      <c r="B120" s="72">
        <v>-2</v>
      </c>
      <c r="C120" s="73">
        <v>-2</v>
      </c>
      <c r="D120" s="71">
        <v>0.05</v>
      </c>
      <c r="E120" s="62">
        <v>17869</v>
      </c>
      <c r="F120" s="62">
        <f t="shared" si="304"/>
        <v>134</v>
      </c>
      <c r="G120" s="62">
        <v>11845</v>
      </c>
      <c r="H120" s="62">
        <f t="shared" si="305"/>
        <v>109</v>
      </c>
      <c r="I120" s="62">
        <v>2002</v>
      </c>
      <c r="J120" s="62">
        <f t="shared" si="306"/>
        <v>45</v>
      </c>
      <c r="K120" s="1">
        <f t="shared" ref="K120:L120" si="313">I120</f>
        <v>2002</v>
      </c>
      <c r="L120" s="1">
        <f t="shared" si="313"/>
        <v>45</v>
      </c>
      <c r="M120" s="36">
        <f t="shared" si="308"/>
        <v>-2</v>
      </c>
      <c r="O120" s="19">
        <f t="shared" si="309"/>
        <v>0.05</v>
      </c>
      <c r="P120" s="19">
        <f t="shared" si="310"/>
        <v>33.366666666666667</v>
      </c>
      <c r="Q120" s="19">
        <f t="shared" si="311"/>
        <v>0.75556111111111113</v>
      </c>
      <c r="S120" s="1"/>
      <c r="T120" s="1">
        <v>492</v>
      </c>
      <c r="U120" s="1">
        <f>4</f>
        <v>4</v>
      </c>
      <c r="W120" s="1"/>
      <c r="X120" s="1"/>
    </row>
    <row r="121" spans="1:87">
      <c r="B121" s="72">
        <v>-1</v>
      </c>
      <c r="C121" s="73">
        <v>-1</v>
      </c>
      <c r="D121" s="71">
        <v>0.05</v>
      </c>
      <c r="E121" s="62">
        <v>15123</v>
      </c>
      <c r="F121" s="62">
        <f t="shared" si="304"/>
        <v>123</v>
      </c>
      <c r="G121" s="62">
        <v>13457</v>
      </c>
      <c r="H121" s="62">
        <f t="shared" si="305"/>
        <v>116</v>
      </c>
      <c r="I121" s="62">
        <v>2153</v>
      </c>
      <c r="J121" s="62">
        <f t="shared" si="306"/>
        <v>46</v>
      </c>
      <c r="K121" s="1">
        <f t="shared" ref="K121:L121" si="314">I121</f>
        <v>2153</v>
      </c>
      <c r="L121" s="1">
        <f t="shared" si="314"/>
        <v>46</v>
      </c>
      <c r="M121" s="36">
        <f t="shared" si="308"/>
        <v>-1</v>
      </c>
      <c r="O121" s="19">
        <f t="shared" si="309"/>
        <v>0.05</v>
      </c>
      <c r="P121" s="19">
        <f t="shared" si="310"/>
        <v>35.883333333333333</v>
      </c>
      <c r="Q121" s="19">
        <f t="shared" si="311"/>
        <v>0.77264722222222226</v>
      </c>
      <c r="S121" s="1"/>
      <c r="W121" s="1"/>
      <c r="X121" s="1"/>
    </row>
    <row r="122" spans="1:87">
      <c r="B122" s="72">
        <v>0</v>
      </c>
      <c r="C122" s="73">
        <v>0</v>
      </c>
      <c r="D122" s="71">
        <v>0.05</v>
      </c>
      <c r="E122" s="62">
        <v>13332</v>
      </c>
      <c r="F122" s="62">
        <f t="shared" si="304"/>
        <v>115</v>
      </c>
      <c r="G122" s="62">
        <v>15497</v>
      </c>
      <c r="H122" s="62">
        <f t="shared" si="305"/>
        <v>124</v>
      </c>
      <c r="I122" s="62">
        <v>2301</v>
      </c>
      <c r="J122" s="62">
        <f t="shared" si="306"/>
        <v>48</v>
      </c>
      <c r="K122" s="1">
        <f t="shared" ref="K122:L122" si="315">I122</f>
        <v>2301</v>
      </c>
      <c r="L122" s="1">
        <f t="shared" si="315"/>
        <v>48</v>
      </c>
      <c r="M122" s="36">
        <f t="shared" si="308"/>
        <v>0</v>
      </c>
      <c r="O122" s="19">
        <f t="shared" si="309"/>
        <v>0.05</v>
      </c>
      <c r="P122" s="19">
        <f t="shared" si="310"/>
        <v>38.35</v>
      </c>
      <c r="Q122" s="19">
        <f t="shared" si="311"/>
        <v>0.80639166666666673</v>
      </c>
      <c r="S122" s="1"/>
      <c r="W122" s="1"/>
      <c r="X122" s="1"/>
    </row>
    <row r="123" spans="1:87">
      <c r="B123" s="72">
        <v>1</v>
      </c>
      <c r="C123" s="73">
        <v>1</v>
      </c>
      <c r="D123" s="71">
        <v>0.05</v>
      </c>
      <c r="E123" s="62">
        <v>11702</v>
      </c>
      <c r="F123" s="62">
        <f t="shared" si="304"/>
        <v>108</v>
      </c>
      <c r="G123" s="62">
        <v>17435</v>
      </c>
      <c r="H123" s="62">
        <f t="shared" si="305"/>
        <v>132</v>
      </c>
      <c r="I123" s="62">
        <v>2153</v>
      </c>
      <c r="J123" s="62">
        <f t="shared" si="306"/>
        <v>46</v>
      </c>
      <c r="K123" s="1">
        <f t="shared" ref="K123:L123" si="316">I123</f>
        <v>2153</v>
      </c>
      <c r="L123" s="1">
        <f t="shared" si="316"/>
        <v>46</v>
      </c>
      <c r="M123" s="36">
        <f t="shared" si="308"/>
        <v>1</v>
      </c>
      <c r="O123" s="19">
        <f t="shared" si="309"/>
        <v>0.05</v>
      </c>
      <c r="P123" s="19">
        <f t="shared" si="310"/>
        <v>35.883333333333333</v>
      </c>
      <c r="Q123" s="19">
        <f t="shared" si="311"/>
        <v>0.77264722222222226</v>
      </c>
      <c r="S123" s="1"/>
      <c r="W123" s="1"/>
      <c r="X123" s="1"/>
    </row>
    <row r="124" spans="1:87">
      <c r="B124" s="72">
        <v>2</v>
      </c>
      <c r="C124" s="73">
        <v>2</v>
      </c>
      <c r="D124" s="71">
        <v>0.05</v>
      </c>
      <c r="E124" s="62">
        <v>10272</v>
      </c>
      <c r="F124" s="62">
        <f t="shared" si="304"/>
        <v>101</v>
      </c>
      <c r="G124" s="62">
        <v>20504</v>
      </c>
      <c r="H124" s="62">
        <f t="shared" si="305"/>
        <v>143</v>
      </c>
      <c r="I124" s="62">
        <v>1917</v>
      </c>
      <c r="J124" s="62">
        <f t="shared" si="306"/>
        <v>44</v>
      </c>
      <c r="K124" s="1">
        <f t="shared" ref="K124:L124" si="317">I124</f>
        <v>1917</v>
      </c>
      <c r="L124" s="1">
        <f t="shared" si="317"/>
        <v>44</v>
      </c>
      <c r="M124" s="36">
        <f t="shared" si="308"/>
        <v>2</v>
      </c>
      <c r="O124" s="19">
        <f t="shared" si="309"/>
        <v>0.05</v>
      </c>
      <c r="P124" s="19">
        <f t="shared" si="310"/>
        <v>31.95</v>
      </c>
      <c r="Q124" s="19">
        <f t="shared" si="311"/>
        <v>0.73865833333333331</v>
      </c>
      <c r="S124" s="1"/>
      <c r="W124" s="1"/>
      <c r="X124" s="1"/>
    </row>
    <row r="125" spans="1:87">
      <c r="B125" s="72">
        <v>3</v>
      </c>
      <c r="C125" s="73">
        <v>3</v>
      </c>
      <c r="D125" s="71">
        <v>0.05</v>
      </c>
      <c r="E125" s="62">
        <v>9331</v>
      </c>
      <c r="F125" s="62">
        <f t="shared" si="304"/>
        <v>97</v>
      </c>
      <c r="G125" s="62">
        <v>24266</v>
      </c>
      <c r="H125" s="62">
        <f t="shared" si="305"/>
        <v>156</v>
      </c>
      <c r="I125" s="62">
        <v>1651</v>
      </c>
      <c r="J125" s="62">
        <f t="shared" si="306"/>
        <v>41</v>
      </c>
      <c r="K125" s="1">
        <f t="shared" ref="K125:L125" si="318">I125</f>
        <v>1651</v>
      </c>
      <c r="L125" s="1">
        <f t="shared" si="318"/>
        <v>41</v>
      </c>
      <c r="M125" s="36">
        <f t="shared" si="308"/>
        <v>3</v>
      </c>
      <c r="O125" s="19">
        <f t="shared" si="309"/>
        <v>0.05</v>
      </c>
      <c r="P125" s="19">
        <f t="shared" si="310"/>
        <v>27.516666666666666</v>
      </c>
      <c r="Q125" s="19">
        <f t="shared" si="311"/>
        <v>0.68791944444444442</v>
      </c>
      <c r="S125" s="1"/>
      <c r="W125" s="1"/>
      <c r="X125" s="1"/>
    </row>
    <row r="126" spans="1:87">
      <c r="B126" s="72">
        <v>4</v>
      </c>
      <c r="C126" s="73">
        <v>4</v>
      </c>
      <c r="D126" s="71">
        <v>0.05</v>
      </c>
      <c r="E126" s="62">
        <v>8224</v>
      </c>
      <c r="F126" s="62">
        <f t="shared" si="304"/>
        <v>91</v>
      </c>
      <c r="G126" s="62">
        <v>29346</v>
      </c>
      <c r="H126" s="62">
        <f t="shared" si="305"/>
        <v>171</v>
      </c>
      <c r="I126" s="62">
        <v>1397</v>
      </c>
      <c r="J126" s="62">
        <f t="shared" si="306"/>
        <v>37</v>
      </c>
      <c r="K126" s="1">
        <f t="shared" ref="K126:L126" si="319">I126</f>
        <v>1397</v>
      </c>
      <c r="L126" s="1">
        <f t="shared" si="319"/>
        <v>37</v>
      </c>
      <c r="M126" s="36">
        <f t="shared" si="308"/>
        <v>4</v>
      </c>
      <c r="O126" s="19">
        <f t="shared" si="309"/>
        <v>0.05</v>
      </c>
      <c r="P126" s="19">
        <f t="shared" si="310"/>
        <v>23.283333333333335</v>
      </c>
      <c r="Q126" s="19">
        <f t="shared" si="311"/>
        <v>0.62054722222222225</v>
      </c>
      <c r="S126" s="1" t="s">
        <v>138</v>
      </c>
      <c r="T126" s="45">
        <f>(T116*T119+T117)/T118</f>
        <v>0.26379999999999998</v>
      </c>
      <c r="U126" s="45">
        <f>ABS(T126*U118/T118)+(ABS(T119*U116)+ABS(T116*U119)+ABS(U117))/ABS(T118)</f>
        <v>2.7469E-2</v>
      </c>
      <c r="V126" s="45"/>
      <c r="W126" s="45">
        <v>15.9</v>
      </c>
      <c r="X126" s="45">
        <v>1.6</v>
      </c>
    </row>
    <row r="127" spans="1:87">
      <c r="C127" s="56"/>
      <c r="D127" s="56"/>
      <c r="O127" s="19"/>
      <c r="P127" s="19"/>
      <c r="Q127" s="19"/>
      <c r="S127" s="1">
        <v>3</v>
      </c>
      <c r="T127" s="45">
        <f>ROUND(T126,S127)</f>
        <v>0.26400000000000001</v>
      </c>
      <c r="U127" s="45">
        <f>ROUND(U126,S127)</f>
        <v>2.7E-2</v>
      </c>
      <c r="V127" s="45"/>
      <c r="W127" s="45">
        <f>T127*H3</f>
        <v>15.84</v>
      </c>
      <c r="X127" s="45">
        <f>T127*I3+H3*U127</f>
        <v>1.6226399999999999</v>
      </c>
    </row>
    <row r="128" spans="1:87">
      <c r="C128" s="56"/>
      <c r="D128" s="56"/>
      <c r="O128" s="19"/>
      <c r="P128" s="19"/>
      <c r="Q128" s="19"/>
      <c r="S128" s="1" t="s">
        <v>139</v>
      </c>
      <c r="T128" s="1">
        <f>(T116*T120+T117)/T118</f>
        <v>0.26601999999999998</v>
      </c>
      <c r="U128" s="1">
        <f>ABS(T128*U118/T118)+(ABS(T119*U116)+ABS(T116*U119)+ABS(U117))/ABS(T118)</f>
        <v>2.74801E-2</v>
      </c>
      <c r="W128" s="43">
        <v>16</v>
      </c>
      <c r="X128" s="1">
        <v>1.6</v>
      </c>
    </row>
    <row r="129" spans="2:24">
      <c r="B129" s="1" t="s">
        <v>140</v>
      </c>
      <c r="C129" s="56"/>
      <c r="D129" s="56"/>
      <c r="O129" s="19"/>
      <c r="P129" s="19"/>
      <c r="Q129" s="19"/>
      <c r="S129" s="1">
        <v>3</v>
      </c>
      <c r="T129" s="1">
        <f>ROUND(T128,S129)</f>
        <v>0.26600000000000001</v>
      </c>
      <c r="U129" s="1">
        <f>ROUND(U128,S129)</f>
        <v>2.7E-2</v>
      </c>
      <c r="W129" s="1">
        <f>T129*H3</f>
        <v>15.96</v>
      </c>
      <c r="X129" s="1">
        <f>T129*I3+H3*U129</f>
        <v>1.62266</v>
      </c>
    </row>
    <row r="130" spans="2:24">
      <c r="B130" s="62" t="s">
        <v>95</v>
      </c>
      <c r="C130" s="71" t="s">
        <v>141</v>
      </c>
      <c r="D130" s="71" t="s">
        <v>44</v>
      </c>
      <c r="E130" s="62" t="s">
        <v>47</v>
      </c>
      <c r="F130" s="62" t="s">
        <v>44</v>
      </c>
      <c r="G130" s="62" t="s">
        <v>48</v>
      </c>
      <c r="H130" s="62" t="s">
        <v>44</v>
      </c>
      <c r="I130" s="62" t="s">
        <v>49</v>
      </c>
      <c r="J130" s="62" t="s">
        <v>44</v>
      </c>
      <c r="O130" s="19"/>
      <c r="P130" s="19"/>
      <c r="Q130" s="19"/>
    </row>
    <row r="131" spans="2:24">
      <c r="B131" s="74">
        <v>1</v>
      </c>
      <c r="C131" s="73">
        <v>1</v>
      </c>
      <c r="D131" s="71">
        <v>0.05</v>
      </c>
      <c r="E131" s="62">
        <v>11267</v>
      </c>
      <c r="F131" s="62">
        <f t="shared" ref="F131:F143" si="320">ROUND(SQRT(E131),0)</f>
        <v>106</v>
      </c>
      <c r="G131" s="62">
        <v>17660</v>
      </c>
      <c r="H131" s="62">
        <f t="shared" ref="H131:H143" si="321">ROUND(SQRT(G131),0)</f>
        <v>133</v>
      </c>
      <c r="I131" s="62">
        <v>789</v>
      </c>
      <c r="J131" s="62">
        <f t="shared" ref="J131:J143" si="322">ROUND(SQRT(I131),0)</f>
        <v>28</v>
      </c>
      <c r="O131" s="19"/>
      <c r="P131" s="19"/>
      <c r="Q131" s="19"/>
    </row>
    <row r="132" spans="2:24">
      <c r="B132" s="74">
        <v>2</v>
      </c>
      <c r="C132" s="73">
        <v>2</v>
      </c>
      <c r="D132" s="71">
        <v>0.05</v>
      </c>
      <c r="E132" s="62">
        <v>10169</v>
      </c>
      <c r="F132" s="62">
        <f t="shared" si="320"/>
        <v>101</v>
      </c>
      <c r="G132" s="62">
        <v>19768</v>
      </c>
      <c r="H132" s="62">
        <f t="shared" si="321"/>
        <v>141</v>
      </c>
      <c r="I132" s="62">
        <v>45</v>
      </c>
      <c r="J132" s="62">
        <f t="shared" si="322"/>
        <v>7</v>
      </c>
      <c r="O132" s="19"/>
      <c r="P132" s="19"/>
      <c r="Q132" s="19"/>
    </row>
    <row r="133" spans="2:24">
      <c r="B133" s="74">
        <v>3</v>
      </c>
      <c r="C133" s="73">
        <v>3</v>
      </c>
      <c r="D133" s="71">
        <v>0.05</v>
      </c>
      <c r="E133" s="62">
        <v>8775</v>
      </c>
      <c r="F133" s="62">
        <f t="shared" si="320"/>
        <v>94</v>
      </c>
      <c r="G133" s="62">
        <v>22231</v>
      </c>
      <c r="H133" s="62">
        <f t="shared" si="321"/>
        <v>149</v>
      </c>
      <c r="I133" s="62">
        <v>26</v>
      </c>
      <c r="J133" s="62">
        <f t="shared" si="322"/>
        <v>5</v>
      </c>
      <c r="O133" s="19"/>
      <c r="P133" s="19"/>
      <c r="Q133" s="19"/>
    </row>
    <row r="134" spans="2:24">
      <c r="B134" s="74">
        <v>-1</v>
      </c>
      <c r="C134" s="74">
        <v>-1</v>
      </c>
      <c r="D134" s="71">
        <v>0.05</v>
      </c>
      <c r="E134" s="62">
        <v>15183</v>
      </c>
      <c r="F134" s="62">
        <f t="shared" si="320"/>
        <v>123</v>
      </c>
      <c r="G134" s="62">
        <v>13223</v>
      </c>
      <c r="H134" s="62">
        <f t="shared" si="321"/>
        <v>115</v>
      </c>
      <c r="I134" s="62">
        <v>1194</v>
      </c>
      <c r="J134" s="62">
        <f t="shared" si="322"/>
        <v>35</v>
      </c>
      <c r="O134" s="19"/>
      <c r="P134" s="19"/>
      <c r="Q134" s="19"/>
    </row>
    <row r="135" spans="2:24">
      <c r="B135" s="74">
        <v>-2</v>
      </c>
      <c r="C135" s="74">
        <v>-2</v>
      </c>
      <c r="D135" s="71">
        <v>0.05</v>
      </c>
      <c r="E135" s="62">
        <v>17399</v>
      </c>
      <c r="F135" s="62">
        <f t="shared" si="320"/>
        <v>132</v>
      </c>
      <c r="G135" s="62">
        <v>11336</v>
      </c>
      <c r="H135" s="62">
        <f t="shared" si="321"/>
        <v>106</v>
      </c>
      <c r="I135" s="62">
        <v>56</v>
      </c>
      <c r="J135" s="62">
        <f t="shared" si="322"/>
        <v>7</v>
      </c>
      <c r="O135" s="19"/>
      <c r="P135" s="19"/>
      <c r="Q135" s="19"/>
    </row>
    <row r="136" spans="2:24">
      <c r="B136" s="74">
        <v>-3</v>
      </c>
      <c r="C136" s="74">
        <v>-3</v>
      </c>
      <c r="D136" s="71">
        <v>0.05</v>
      </c>
      <c r="E136" s="62">
        <v>19492</v>
      </c>
      <c r="F136" s="62">
        <f t="shared" si="320"/>
        <v>140</v>
      </c>
      <c r="G136" s="62">
        <v>9944</v>
      </c>
      <c r="H136" s="62">
        <f t="shared" si="321"/>
        <v>100</v>
      </c>
      <c r="I136" s="62">
        <v>32</v>
      </c>
      <c r="J136" s="62">
        <f t="shared" si="322"/>
        <v>6</v>
      </c>
      <c r="O136" s="19"/>
      <c r="P136" s="19"/>
      <c r="Q136" s="19"/>
    </row>
    <row r="137" spans="2:24">
      <c r="B137" s="74">
        <v>1</v>
      </c>
      <c r="C137" s="74">
        <v>-1</v>
      </c>
      <c r="D137" s="71">
        <v>0.05</v>
      </c>
      <c r="E137" s="62">
        <v>15150</v>
      </c>
      <c r="F137" s="62">
        <f t="shared" si="320"/>
        <v>123</v>
      </c>
      <c r="G137" s="62">
        <v>12970</v>
      </c>
      <c r="H137" s="62">
        <f t="shared" si="321"/>
        <v>114</v>
      </c>
      <c r="I137" s="62">
        <v>757</v>
      </c>
      <c r="J137" s="62">
        <f t="shared" si="322"/>
        <v>28</v>
      </c>
      <c r="O137" s="19"/>
      <c r="P137" s="19"/>
      <c r="Q137" s="19"/>
    </row>
    <row r="138" spans="2:24">
      <c r="B138" s="74">
        <v>2</v>
      </c>
      <c r="C138" s="74">
        <v>-2</v>
      </c>
      <c r="D138" s="71">
        <v>0.05</v>
      </c>
      <c r="E138" s="62">
        <v>17111</v>
      </c>
      <c r="F138" s="62">
        <f t="shared" si="320"/>
        <v>131</v>
      </c>
      <c r="G138" s="62">
        <v>11072</v>
      </c>
      <c r="H138" s="62">
        <f t="shared" si="321"/>
        <v>105</v>
      </c>
      <c r="I138" s="62">
        <v>28</v>
      </c>
      <c r="J138" s="62">
        <f t="shared" si="322"/>
        <v>5</v>
      </c>
      <c r="O138" s="19"/>
      <c r="P138" s="19"/>
      <c r="Q138" s="19"/>
    </row>
    <row r="139" spans="2:24">
      <c r="B139" s="74">
        <v>3</v>
      </c>
      <c r="C139" s="74">
        <v>-3</v>
      </c>
      <c r="D139" s="71">
        <v>0.05</v>
      </c>
      <c r="E139" s="62">
        <v>18957</v>
      </c>
      <c r="F139" s="62">
        <f t="shared" si="320"/>
        <v>138</v>
      </c>
      <c r="G139" s="62">
        <v>9989</v>
      </c>
      <c r="H139" s="62">
        <f t="shared" si="321"/>
        <v>100</v>
      </c>
      <c r="I139" s="62">
        <v>23</v>
      </c>
      <c r="J139" s="62">
        <f t="shared" si="322"/>
        <v>5</v>
      </c>
      <c r="O139" s="19"/>
      <c r="P139" s="19"/>
      <c r="Q139" s="19"/>
    </row>
    <row r="140" spans="2:24">
      <c r="B140" s="74">
        <v>-1</v>
      </c>
      <c r="C140" s="74">
        <v>1</v>
      </c>
      <c r="D140" s="71">
        <v>0.05</v>
      </c>
      <c r="E140" s="62">
        <v>11499</v>
      </c>
      <c r="F140" s="62">
        <f t="shared" si="320"/>
        <v>107</v>
      </c>
      <c r="G140" s="62">
        <v>17596</v>
      </c>
      <c r="H140" s="62">
        <f t="shared" si="321"/>
        <v>133</v>
      </c>
      <c r="I140" s="62">
        <v>1096</v>
      </c>
      <c r="J140" s="62">
        <f t="shared" si="322"/>
        <v>33</v>
      </c>
      <c r="O140" s="19"/>
      <c r="P140" s="19"/>
      <c r="Q140" s="19"/>
    </row>
    <row r="141" spans="2:24">
      <c r="B141" s="74">
        <v>-2</v>
      </c>
      <c r="C141" s="74">
        <v>2</v>
      </c>
      <c r="D141" s="71">
        <v>0.05</v>
      </c>
      <c r="E141" s="62">
        <v>10181</v>
      </c>
      <c r="F141" s="62">
        <f t="shared" si="320"/>
        <v>101</v>
      </c>
      <c r="G141" s="62">
        <v>19784</v>
      </c>
      <c r="H141" s="62">
        <f t="shared" si="321"/>
        <v>141</v>
      </c>
      <c r="I141" s="62">
        <v>68</v>
      </c>
      <c r="J141" s="62">
        <f t="shared" si="322"/>
        <v>8</v>
      </c>
      <c r="O141" s="19"/>
      <c r="P141" s="19"/>
      <c r="Q141" s="19"/>
    </row>
    <row r="142" spans="2:24">
      <c r="B142" s="74">
        <v>-3</v>
      </c>
      <c r="C142" s="74">
        <v>3</v>
      </c>
      <c r="D142" s="71">
        <v>0.05</v>
      </c>
      <c r="E142" s="62">
        <v>8762</v>
      </c>
      <c r="F142" s="62">
        <f t="shared" si="320"/>
        <v>94</v>
      </c>
      <c r="G142" s="62">
        <v>22487</v>
      </c>
      <c r="H142" s="62">
        <f t="shared" si="321"/>
        <v>150</v>
      </c>
      <c r="I142" s="62">
        <v>27</v>
      </c>
      <c r="J142" s="62">
        <f t="shared" si="322"/>
        <v>5</v>
      </c>
      <c r="O142" s="19"/>
      <c r="P142" s="19"/>
      <c r="Q142" s="19"/>
    </row>
    <row r="143" spans="2:24">
      <c r="B143" s="74">
        <v>0</v>
      </c>
      <c r="C143" s="74">
        <v>0</v>
      </c>
      <c r="D143" s="62">
        <v>0.05</v>
      </c>
      <c r="E143" s="62">
        <v>13520</v>
      </c>
      <c r="F143" s="62">
        <f t="shared" si="320"/>
        <v>116</v>
      </c>
      <c r="G143" s="62">
        <v>15079</v>
      </c>
      <c r="H143" s="62">
        <f t="shared" si="321"/>
        <v>123</v>
      </c>
      <c r="I143" s="62">
        <v>2217</v>
      </c>
      <c r="J143" s="62">
        <f t="shared" si="322"/>
        <v>47</v>
      </c>
      <c r="O143" s="19"/>
      <c r="P143" s="19"/>
      <c r="Q143" s="19"/>
    </row>
    <row r="144" spans="2:24">
      <c r="O144" s="19"/>
      <c r="P144" s="19"/>
      <c r="Q144" s="19"/>
    </row>
    <row r="145" spans="1:18">
      <c r="A145" s="1" t="s">
        <v>142</v>
      </c>
      <c r="B145" s="1">
        <v>0</v>
      </c>
      <c r="C145" s="73">
        <v>-4</v>
      </c>
      <c r="D145" s="71">
        <v>0.05</v>
      </c>
      <c r="E145" s="62">
        <v>25579</v>
      </c>
      <c r="F145" s="62">
        <f t="shared" ref="F145:F152" si="323">ROUND(SQRT(E145),0)</f>
        <v>160</v>
      </c>
      <c r="G145" s="62">
        <v>9232</v>
      </c>
      <c r="H145" s="62">
        <f t="shared" ref="H145:H152" si="324">ROUND(SQRT(G145),0)</f>
        <v>96</v>
      </c>
      <c r="I145" s="62">
        <v>1521</v>
      </c>
      <c r="J145" s="62">
        <f t="shared" ref="J145:J152" si="325">ROUND(SQRT(I145),0)</f>
        <v>39</v>
      </c>
      <c r="O145" s="19"/>
      <c r="P145" s="19"/>
      <c r="Q145" s="19"/>
    </row>
    <row r="146" spans="1:18">
      <c r="B146" s="1">
        <v>0</v>
      </c>
      <c r="C146" s="73">
        <v>-3</v>
      </c>
      <c r="D146" s="71">
        <v>0.05</v>
      </c>
      <c r="E146" s="62">
        <v>21079</v>
      </c>
      <c r="F146" s="62">
        <f t="shared" si="323"/>
        <v>145</v>
      </c>
      <c r="G146" s="62">
        <v>10318</v>
      </c>
      <c r="H146" s="62">
        <f t="shared" si="324"/>
        <v>102</v>
      </c>
      <c r="I146" s="62">
        <v>1693</v>
      </c>
      <c r="J146" s="62">
        <f t="shared" si="325"/>
        <v>41</v>
      </c>
      <c r="O146" s="19"/>
      <c r="P146" s="19"/>
      <c r="Q146" s="19"/>
    </row>
    <row r="147" spans="1:18">
      <c r="B147" s="1">
        <v>0</v>
      </c>
      <c r="C147" s="73">
        <v>-2</v>
      </c>
      <c r="D147" s="71">
        <v>0.05</v>
      </c>
      <c r="E147" s="62">
        <v>17869</v>
      </c>
      <c r="F147" s="62">
        <f t="shared" si="323"/>
        <v>134</v>
      </c>
      <c r="G147" s="62">
        <v>11845</v>
      </c>
      <c r="H147" s="62">
        <f t="shared" si="324"/>
        <v>109</v>
      </c>
      <c r="I147" s="62">
        <v>2002</v>
      </c>
      <c r="J147" s="62">
        <f t="shared" si="325"/>
        <v>45</v>
      </c>
      <c r="O147" s="19"/>
      <c r="P147" s="19"/>
      <c r="Q147" s="19"/>
      <c r="R147" s="1">
        <f>318.6/11</f>
        <v>28.963636363636365</v>
      </c>
    </row>
    <row r="148" spans="1:18">
      <c r="B148" s="1">
        <v>0</v>
      </c>
      <c r="C148" s="73">
        <v>-1</v>
      </c>
      <c r="D148" s="71">
        <v>0.05</v>
      </c>
      <c r="E148" s="62">
        <v>15123</v>
      </c>
      <c r="F148" s="62">
        <f t="shared" si="323"/>
        <v>123</v>
      </c>
      <c r="G148" s="62">
        <v>13457</v>
      </c>
      <c r="H148" s="62">
        <f t="shared" si="324"/>
        <v>116</v>
      </c>
      <c r="I148" s="62">
        <v>2153</v>
      </c>
      <c r="J148" s="62">
        <f t="shared" si="325"/>
        <v>46</v>
      </c>
      <c r="O148" s="19"/>
      <c r="P148" s="19"/>
      <c r="Q148" s="19"/>
      <c r="R148" s="1">
        <f>255/11</f>
        <v>23.181818181818183</v>
      </c>
    </row>
    <row r="149" spans="1:18">
      <c r="B149" s="1">
        <v>0</v>
      </c>
      <c r="C149" s="73">
        <v>1</v>
      </c>
      <c r="D149" s="71">
        <v>0.05</v>
      </c>
      <c r="E149" s="62">
        <v>11702</v>
      </c>
      <c r="F149" s="62">
        <f t="shared" si="323"/>
        <v>108</v>
      </c>
      <c r="G149" s="62">
        <v>17435</v>
      </c>
      <c r="H149" s="62">
        <f t="shared" si="324"/>
        <v>132</v>
      </c>
      <c r="I149" s="62">
        <v>2153</v>
      </c>
      <c r="J149" s="62">
        <f t="shared" si="325"/>
        <v>46</v>
      </c>
      <c r="O149" s="19"/>
      <c r="P149" s="19"/>
      <c r="Q149" s="19"/>
      <c r="R149" s="1">
        <f>377.1/11</f>
        <v>34.281818181818181</v>
      </c>
    </row>
    <row r="150" spans="1:18">
      <c r="B150" s="1">
        <v>0</v>
      </c>
      <c r="C150" s="73">
        <v>2</v>
      </c>
      <c r="D150" s="71">
        <v>0.05</v>
      </c>
      <c r="E150" s="62">
        <v>10272</v>
      </c>
      <c r="F150" s="62">
        <f t="shared" si="323"/>
        <v>101</v>
      </c>
      <c r="G150" s="62">
        <v>20504</v>
      </c>
      <c r="H150" s="62">
        <f t="shared" si="324"/>
        <v>143</v>
      </c>
      <c r="I150" s="62">
        <v>1917</v>
      </c>
      <c r="J150" s="62">
        <f t="shared" si="325"/>
        <v>44</v>
      </c>
      <c r="O150" s="19"/>
      <c r="P150" s="19"/>
      <c r="Q150" s="19"/>
      <c r="R150" s="1">
        <f>116.5/5</f>
        <v>23.3</v>
      </c>
    </row>
    <row r="151" spans="1:18">
      <c r="B151" s="1">
        <v>0</v>
      </c>
      <c r="C151" s="73">
        <v>3</v>
      </c>
      <c r="D151" s="71">
        <v>0.05</v>
      </c>
      <c r="E151" s="62">
        <v>9331</v>
      </c>
      <c r="F151" s="62">
        <f t="shared" si="323"/>
        <v>97</v>
      </c>
      <c r="G151" s="62">
        <v>24266</v>
      </c>
      <c r="H151" s="62">
        <f t="shared" si="324"/>
        <v>156</v>
      </c>
      <c r="I151" s="62">
        <v>1651</v>
      </c>
      <c r="J151" s="62">
        <f t="shared" si="325"/>
        <v>41</v>
      </c>
      <c r="O151" s="19"/>
      <c r="P151" s="19"/>
      <c r="Q151" s="19"/>
      <c r="R151" s="1">
        <f>121.5/5</f>
        <v>24.3</v>
      </c>
    </row>
    <row r="152" spans="1:18">
      <c r="B152" s="1">
        <v>0</v>
      </c>
      <c r="C152" s="73">
        <v>4</v>
      </c>
      <c r="D152" s="71">
        <v>0.05</v>
      </c>
      <c r="E152" s="62">
        <v>8224</v>
      </c>
      <c r="F152" s="62">
        <f t="shared" si="323"/>
        <v>91</v>
      </c>
      <c r="G152" s="62">
        <v>29346</v>
      </c>
      <c r="H152" s="62">
        <f t="shared" si="324"/>
        <v>171</v>
      </c>
      <c r="I152" s="62">
        <v>1397</v>
      </c>
      <c r="J152" s="62">
        <f t="shared" si="325"/>
        <v>37</v>
      </c>
      <c r="O152" s="19"/>
      <c r="P152" s="19"/>
      <c r="Q152" s="19"/>
      <c r="R152" s="1">
        <f>70.79/6</f>
        <v>11.798333333333334</v>
      </c>
    </row>
    <row r="153" spans="1:18">
      <c r="O153" s="19"/>
      <c r="P153" s="19"/>
      <c r="Q153" s="19"/>
      <c r="R153" s="1">
        <f>113.7/8</f>
        <v>14.2125</v>
      </c>
    </row>
    <row r="154" spans="1:18">
      <c r="A154" s="1" t="s">
        <v>143</v>
      </c>
      <c r="B154" s="75">
        <v>-1</v>
      </c>
      <c r="C154" s="1">
        <v>0</v>
      </c>
      <c r="D154" s="56">
        <v>0.05</v>
      </c>
      <c r="E154" s="64">
        <f t="shared" ref="E154:J154" si="326">E170</f>
        <v>13805</v>
      </c>
      <c r="F154" s="64">
        <f t="shared" si="326"/>
        <v>117</v>
      </c>
      <c r="G154" s="64">
        <f t="shared" si="326"/>
        <v>15363</v>
      </c>
      <c r="H154" s="64">
        <f t="shared" si="326"/>
        <v>124</v>
      </c>
      <c r="I154" s="64">
        <f t="shared" si="326"/>
        <v>1562</v>
      </c>
      <c r="J154" s="64">
        <f t="shared" si="326"/>
        <v>40</v>
      </c>
      <c r="O154" s="19"/>
      <c r="P154" s="19"/>
      <c r="Q154" s="19"/>
      <c r="R154" s="1">
        <f>136.8/9</f>
        <v>15.200000000000001</v>
      </c>
    </row>
    <row r="155" spans="1:18">
      <c r="B155" s="75">
        <v>1</v>
      </c>
      <c r="C155" s="1">
        <v>0</v>
      </c>
      <c r="D155" s="56">
        <v>0.05</v>
      </c>
      <c r="E155" s="64">
        <f t="shared" ref="E155:J155" si="327">E171</f>
        <v>13711</v>
      </c>
      <c r="F155" s="64">
        <f t="shared" si="327"/>
        <v>117</v>
      </c>
      <c r="G155" s="64">
        <f t="shared" si="327"/>
        <v>15398</v>
      </c>
      <c r="H155" s="64">
        <f t="shared" si="327"/>
        <v>124</v>
      </c>
      <c r="I155" s="64">
        <f t="shared" si="327"/>
        <v>832</v>
      </c>
      <c r="J155" s="64">
        <f t="shared" si="327"/>
        <v>29</v>
      </c>
      <c r="O155" s="19"/>
      <c r="P155" s="19"/>
      <c r="Q155" s="19"/>
      <c r="R155" s="1">
        <f>AVERAGE(R147:R154)</f>
        <v>21.904763257575759</v>
      </c>
    </row>
    <row r="156" spans="1:18">
      <c r="B156" s="75">
        <v>2</v>
      </c>
      <c r="C156" s="1">
        <v>0</v>
      </c>
      <c r="D156" s="56">
        <v>0.05</v>
      </c>
      <c r="E156" s="64">
        <f t="shared" ref="E156:J156" si="328">E172</f>
        <v>13128</v>
      </c>
      <c r="F156" s="64">
        <f t="shared" si="328"/>
        <v>115</v>
      </c>
      <c r="G156" s="64">
        <f t="shared" si="328"/>
        <v>15366</v>
      </c>
      <c r="H156" s="64">
        <f t="shared" si="328"/>
        <v>124</v>
      </c>
      <c r="I156" s="64">
        <f t="shared" si="328"/>
        <v>46</v>
      </c>
      <c r="J156" s="64">
        <f t="shared" si="328"/>
        <v>7</v>
      </c>
      <c r="O156" s="19"/>
      <c r="P156" s="19"/>
      <c r="Q156" s="19"/>
    </row>
    <row r="157" spans="1:18">
      <c r="B157" s="75">
        <v>3</v>
      </c>
      <c r="C157" s="1">
        <v>0</v>
      </c>
      <c r="D157" s="56">
        <v>0.05</v>
      </c>
      <c r="E157" s="64">
        <f t="shared" ref="E157:J157" si="329">E173</f>
        <v>12793</v>
      </c>
      <c r="F157" s="64">
        <f t="shared" si="329"/>
        <v>113</v>
      </c>
      <c r="G157" s="64">
        <f t="shared" si="329"/>
        <v>14846</v>
      </c>
      <c r="H157" s="64">
        <f t="shared" si="329"/>
        <v>122</v>
      </c>
      <c r="I157" s="64">
        <f t="shared" si="329"/>
        <v>27</v>
      </c>
      <c r="J157" s="64">
        <f t="shared" si="329"/>
        <v>5</v>
      </c>
      <c r="O157" s="19"/>
      <c r="P157" s="19"/>
      <c r="Q157" s="19"/>
    </row>
    <row r="158" spans="1:18">
      <c r="B158" s="75">
        <v>4</v>
      </c>
      <c r="C158" s="1">
        <v>0</v>
      </c>
      <c r="D158" s="56">
        <v>0.05</v>
      </c>
      <c r="E158" s="64">
        <f t="shared" ref="E158:J158" si="330">E174</f>
        <v>12508</v>
      </c>
      <c r="F158" s="64">
        <f t="shared" si="330"/>
        <v>112</v>
      </c>
      <c r="G158" s="64">
        <f t="shared" si="330"/>
        <v>14197</v>
      </c>
      <c r="H158" s="64">
        <f t="shared" si="330"/>
        <v>119</v>
      </c>
      <c r="I158" s="64">
        <f t="shared" si="330"/>
        <v>23</v>
      </c>
      <c r="J158" s="64">
        <f t="shared" si="330"/>
        <v>5</v>
      </c>
      <c r="O158" s="19"/>
      <c r="P158" s="19"/>
      <c r="Q158" s="19"/>
    </row>
    <row r="159" spans="1:18">
      <c r="O159" s="19"/>
      <c r="P159" s="19"/>
      <c r="Q159" s="19"/>
    </row>
    <row r="160" spans="1:18">
      <c r="O160" s="19"/>
      <c r="P160" s="19"/>
      <c r="Q160" s="19"/>
    </row>
    <row r="161" spans="1:87">
      <c r="O161" s="19"/>
      <c r="P161" s="19"/>
      <c r="Q161" s="19"/>
    </row>
    <row r="162" spans="1:87">
      <c r="O162" s="19"/>
      <c r="P162" s="19"/>
      <c r="Q162" s="19"/>
    </row>
    <row r="163" spans="1:87">
      <c r="O163" s="19"/>
      <c r="P163" s="19"/>
      <c r="Q163" s="19"/>
    </row>
    <row r="164" spans="1:87">
      <c r="A164" s="70" t="s">
        <v>144</v>
      </c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</row>
    <row r="165" spans="1:87">
      <c r="B165" s="1" t="s">
        <v>99</v>
      </c>
      <c r="C165" s="1">
        <v>0</v>
      </c>
      <c r="E165" s="1" t="s">
        <v>53</v>
      </c>
      <c r="F165" s="1">
        <v>0</v>
      </c>
      <c r="O165" s="19"/>
      <c r="P165" s="19"/>
      <c r="Q165" s="19"/>
    </row>
    <row r="166" spans="1:87">
      <c r="B166" s="56"/>
      <c r="C166" s="56" t="s">
        <v>145</v>
      </c>
      <c r="D166" s="56" t="s">
        <v>44</v>
      </c>
      <c r="E166" s="1" t="s">
        <v>47</v>
      </c>
      <c r="F166" s="1" t="s">
        <v>44</v>
      </c>
      <c r="G166" s="1" t="s">
        <v>48</v>
      </c>
      <c r="H166" s="1" t="s">
        <v>44</v>
      </c>
      <c r="I166" s="1" t="s">
        <v>49</v>
      </c>
      <c r="J166" s="1" t="s">
        <v>44</v>
      </c>
      <c r="O166" s="19"/>
      <c r="P166" s="19"/>
      <c r="Q166" s="19"/>
    </row>
    <row r="167" spans="1:87">
      <c r="B167" s="57"/>
      <c r="C167" s="75">
        <v>-4</v>
      </c>
      <c r="D167" s="56">
        <v>0.05</v>
      </c>
      <c r="E167" s="45">
        <f t="shared" ref="E167:J167" si="331">E19</f>
        <v>17556</v>
      </c>
      <c r="F167" s="45">
        <f t="shared" si="331"/>
        <v>132</v>
      </c>
      <c r="G167" s="45">
        <f t="shared" si="331"/>
        <v>19074</v>
      </c>
      <c r="H167" s="45">
        <f t="shared" si="331"/>
        <v>138</v>
      </c>
      <c r="I167" s="45">
        <f t="shared" si="331"/>
        <v>19</v>
      </c>
      <c r="J167" s="45">
        <f t="shared" si="331"/>
        <v>4</v>
      </c>
      <c r="O167" s="19"/>
      <c r="P167" s="19"/>
      <c r="Q167" s="19"/>
    </row>
    <row r="168" spans="1:87">
      <c r="B168" s="57"/>
      <c r="C168" s="75">
        <v>-3</v>
      </c>
      <c r="D168" s="56">
        <v>0.05</v>
      </c>
      <c r="E168" s="45">
        <f t="shared" ref="E168:J168" si="332">E35</f>
        <v>17728</v>
      </c>
      <c r="F168" s="45">
        <f t="shared" si="332"/>
        <v>133</v>
      </c>
      <c r="G168" s="45">
        <f t="shared" si="332"/>
        <v>19438</v>
      </c>
      <c r="H168" s="45">
        <f t="shared" si="332"/>
        <v>139</v>
      </c>
      <c r="I168" s="45">
        <f t="shared" si="332"/>
        <v>40</v>
      </c>
      <c r="J168" s="45">
        <f t="shared" si="332"/>
        <v>6</v>
      </c>
      <c r="O168" s="19"/>
      <c r="P168" s="19"/>
      <c r="Q168" s="19"/>
    </row>
    <row r="169" spans="1:87">
      <c r="B169" s="57"/>
      <c r="C169" s="75">
        <v>-2</v>
      </c>
      <c r="D169" s="56">
        <v>0.05</v>
      </c>
      <c r="E169" s="45">
        <f t="shared" ref="E169:J169" si="333">E50</f>
        <v>17907</v>
      </c>
      <c r="F169" s="45">
        <f t="shared" si="333"/>
        <v>134</v>
      </c>
      <c r="G169" s="45">
        <f t="shared" si="333"/>
        <v>19885</v>
      </c>
      <c r="H169" s="45">
        <f t="shared" si="333"/>
        <v>141</v>
      </c>
      <c r="I169" s="45">
        <f t="shared" si="333"/>
        <v>63</v>
      </c>
      <c r="J169" s="45">
        <f t="shared" si="333"/>
        <v>8</v>
      </c>
      <c r="O169" s="19"/>
      <c r="P169" s="19"/>
      <c r="Q169" s="19"/>
    </row>
    <row r="170" spans="1:87">
      <c r="B170" s="57"/>
      <c r="C170" s="75">
        <v>-1</v>
      </c>
      <c r="D170" s="56">
        <v>0.05</v>
      </c>
      <c r="E170" s="64">
        <f t="shared" ref="E170:J170" si="334">E60</f>
        <v>13805</v>
      </c>
      <c r="F170" s="64">
        <f t="shared" si="334"/>
        <v>117</v>
      </c>
      <c r="G170" s="64">
        <f t="shared" si="334"/>
        <v>15363</v>
      </c>
      <c r="H170" s="64">
        <f t="shared" si="334"/>
        <v>124</v>
      </c>
      <c r="I170" s="64">
        <f t="shared" si="334"/>
        <v>1562</v>
      </c>
      <c r="J170" s="64">
        <f t="shared" si="334"/>
        <v>40</v>
      </c>
      <c r="O170" s="19"/>
      <c r="P170" s="19"/>
      <c r="Q170" s="19"/>
    </row>
    <row r="171" spans="1:87">
      <c r="B171" s="57"/>
      <c r="C171" s="75">
        <v>1</v>
      </c>
      <c r="D171" s="56">
        <v>0.05</v>
      </c>
      <c r="E171" s="64">
        <f t="shared" ref="E171:J171" si="335">E69</f>
        <v>13711</v>
      </c>
      <c r="F171" s="64">
        <f t="shared" si="335"/>
        <v>117</v>
      </c>
      <c r="G171" s="64">
        <f t="shared" si="335"/>
        <v>15398</v>
      </c>
      <c r="H171" s="64">
        <f t="shared" si="335"/>
        <v>124</v>
      </c>
      <c r="I171" s="64">
        <f t="shared" si="335"/>
        <v>832</v>
      </c>
      <c r="J171" s="64">
        <f t="shared" si="335"/>
        <v>29</v>
      </c>
      <c r="O171" s="19"/>
      <c r="P171" s="19"/>
      <c r="Q171" s="19"/>
    </row>
    <row r="172" spans="1:87">
      <c r="B172" s="57"/>
      <c r="C172" s="75">
        <v>2</v>
      </c>
      <c r="D172" s="56">
        <v>0.05</v>
      </c>
      <c r="E172" s="64">
        <f t="shared" ref="E172:J172" si="336">E79</f>
        <v>13128</v>
      </c>
      <c r="F172" s="64">
        <f t="shared" si="336"/>
        <v>115</v>
      </c>
      <c r="G172" s="64">
        <f t="shared" si="336"/>
        <v>15366</v>
      </c>
      <c r="H172" s="64">
        <f t="shared" si="336"/>
        <v>124</v>
      </c>
      <c r="I172" s="64">
        <f t="shared" si="336"/>
        <v>46</v>
      </c>
      <c r="J172" s="64">
        <f t="shared" si="336"/>
        <v>7</v>
      </c>
      <c r="O172" s="19"/>
      <c r="P172" s="19"/>
      <c r="Q172" s="19"/>
    </row>
    <row r="173" spans="1:87">
      <c r="B173" s="57"/>
      <c r="C173" s="75">
        <v>3</v>
      </c>
      <c r="D173" s="56">
        <v>0.05</v>
      </c>
      <c r="E173" s="64">
        <f t="shared" ref="E173:J173" si="337">E91</f>
        <v>12793</v>
      </c>
      <c r="F173" s="64">
        <f t="shared" si="337"/>
        <v>113</v>
      </c>
      <c r="G173" s="64">
        <f t="shared" si="337"/>
        <v>14846</v>
      </c>
      <c r="H173" s="64">
        <f t="shared" si="337"/>
        <v>122</v>
      </c>
      <c r="I173" s="64">
        <f t="shared" si="337"/>
        <v>27</v>
      </c>
      <c r="J173" s="64">
        <f t="shared" si="337"/>
        <v>5</v>
      </c>
      <c r="O173" s="19"/>
      <c r="P173" s="19"/>
      <c r="Q173" s="19"/>
    </row>
    <row r="174" spans="1:87">
      <c r="B174" s="57"/>
      <c r="C174" s="75">
        <v>4</v>
      </c>
      <c r="D174" s="56">
        <v>0.05</v>
      </c>
      <c r="E174" s="64">
        <f t="shared" ref="E174:J174" si="338">E103</f>
        <v>12508</v>
      </c>
      <c r="F174" s="64">
        <f t="shared" si="338"/>
        <v>112</v>
      </c>
      <c r="G174" s="64">
        <f t="shared" si="338"/>
        <v>14197</v>
      </c>
      <c r="H174" s="64">
        <f t="shared" si="338"/>
        <v>119</v>
      </c>
      <c r="I174" s="64">
        <f t="shared" si="338"/>
        <v>23</v>
      </c>
      <c r="J174" s="64">
        <f t="shared" si="338"/>
        <v>5</v>
      </c>
      <c r="O174" s="19"/>
      <c r="P174" s="19"/>
      <c r="Q174" s="19"/>
    </row>
    <row r="175" spans="1:87">
      <c r="O175" s="19"/>
      <c r="P175" s="19"/>
      <c r="Q175" s="19"/>
    </row>
    <row r="176" spans="1:87">
      <c r="O176" s="19"/>
      <c r="P176" s="19"/>
      <c r="Q176" s="19"/>
    </row>
    <row r="177" spans="2:17">
      <c r="C177" s="1" t="s">
        <v>146</v>
      </c>
      <c r="O177" s="19"/>
      <c r="P177" s="19"/>
      <c r="Q177" s="19"/>
    </row>
    <row r="178" spans="2:17">
      <c r="O178" s="19"/>
      <c r="P178" s="19"/>
      <c r="Q178" s="19"/>
    </row>
    <row r="179" spans="2:17">
      <c r="C179" s="56" t="s">
        <v>145</v>
      </c>
      <c r="D179" s="56" t="s">
        <v>44</v>
      </c>
      <c r="E179" s="1" t="s">
        <v>47</v>
      </c>
      <c r="F179" s="1" t="s">
        <v>44</v>
      </c>
      <c r="G179" s="1" t="s">
        <v>48</v>
      </c>
      <c r="H179" s="1" t="s">
        <v>44</v>
      </c>
      <c r="I179" s="1" t="s">
        <v>49</v>
      </c>
      <c r="J179" s="1" t="s">
        <v>44</v>
      </c>
      <c r="O179" s="19"/>
      <c r="P179" s="19"/>
      <c r="Q179" s="19"/>
    </row>
    <row r="180" spans="2:17">
      <c r="C180" s="75">
        <v>-4</v>
      </c>
      <c r="D180" s="56">
        <v>0.05</v>
      </c>
      <c r="E180" s="45">
        <f>E167/(SUM(E167:E169))</f>
        <v>0.33005583651369591</v>
      </c>
      <c r="F180" s="45">
        <f t="shared" ref="F180:F187" si="339">E180*F167/E167</f>
        <v>2.4816228309300441E-3</v>
      </c>
      <c r="G180" s="45">
        <f>G167/(SUM(G167:G169))</f>
        <v>0.32662636779286608</v>
      </c>
      <c r="H180" s="45">
        <f t="shared" ref="H180:H187" si="340">G180*H167/G167</f>
        <v>2.3631350925561248E-3</v>
      </c>
      <c r="I180" s="45">
        <f>I167/(SUM(I167:I169))</f>
        <v>0.15573770491803279</v>
      </c>
      <c r="J180" s="45">
        <f t="shared" ref="J180:J187" si="341">I180*J167/I167</f>
        <v>3.2786885245901641E-2</v>
      </c>
      <c r="O180" s="19"/>
      <c r="P180" s="19"/>
      <c r="Q180" s="19"/>
    </row>
    <row r="181" spans="2:17">
      <c r="C181" s="75">
        <v>-3</v>
      </c>
      <c r="D181" s="56">
        <v>0.05</v>
      </c>
      <c r="E181" s="45">
        <f>E168/(SUM(E167:E169))</f>
        <v>0.33328946626308964</v>
      </c>
      <c r="F181" s="45">
        <f t="shared" si="339"/>
        <v>2.500423003891636E-3</v>
      </c>
      <c r="G181" s="45">
        <f>G168/(SUM(G167:G169))</f>
        <v>0.33285956470366629</v>
      </c>
      <c r="H181" s="45">
        <f t="shared" si="340"/>
        <v>2.3802592598934878E-3</v>
      </c>
      <c r="I181" s="45">
        <f>I168/(SUM(I167:I169))</f>
        <v>0.32786885245901637</v>
      </c>
      <c r="J181" s="45">
        <f t="shared" si="341"/>
        <v>4.9180327868852458E-2</v>
      </c>
      <c r="O181" s="19"/>
      <c r="P181" s="19"/>
      <c r="Q181" s="19"/>
    </row>
    <row r="182" spans="2:17">
      <c r="C182" s="75">
        <v>-2</v>
      </c>
      <c r="D182" s="56">
        <v>0.05</v>
      </c>
      <c r="E182" s="45">
        <f>E169/(SUM(E167:E169))</f>
        <v>0.33665469722321445</v>
      </c>
      <c r="F182" s="45">
        <f t="shared" si="339"/>
        <v>2.5192231768532271E-3</v>
      </c>
      <c r="G182" s="45">
        <f>G169/(SUM(G167:G169))</f>
        <v>0.34051406750346763</v>
      </c>
      <c r="H182" s="45">
        <f t="shared" si="340"/>
        <v>2.4145075945682139E-3</v>
      </c>
      <c r="I182" s="45">
        <f>I169/(SUM(I167:I169))</f>
        <v>0.51639344262295084</v>
      </c>
      <c r="J182" s="45">
        <f t="shared" si="341"/>
        <v>6.5573770491803282E-2</v>
      </c>
      <c r="O182" s="19"/>
      <c r="P182" s="19"/>
      <c r="Q182" s="19"/>
    </row>
    <row r="183" spans="2:17">
      <c r="C183" s="75">
        <v>-1</v>
      </c>
      <c r="D183" s="56">
        <v>0.05</v>
      </c>
      <c r="E183" s="64">
        <f>E170/(SUM(E170:E174))</f>
        <v>0.20934111759799834</v>
      </c>
      <c r="F183" s="45">
        <f t="shared" si="339"/>
        <v>1.774205777541891E-3</v>
      </c>
      <c r="G183" s="64">
        <f>G170/(SUM(G170:G174))</f>
        <v>0.2043767460423041</v>
      </c>
      <c r="H183" s="45">
        <f t="shared" si="340"/>
        <v>1.6495942530264731E-3</v>
      </c>
      <c r="I183" s="64">
        <f>I170/(SUM(I170:I174))</f>
        <v>0.62730923694779117</v>
      </c>
      <c r="J183" s="45">
        <f t="shared" si="341"/>
        <v>1.6064257028112448E-2</v>
      </c>
      <c r="O183" s="19"/>
      <c r="P183" s="19"/>
      <c r="Q183" s="19"/>
    </row>
    <row r="184" spans="2:17">
      <c r="B184" s="71"/>
      <c r="C184" s="75">
        <v>1</v>
      </c>
      <c r="D184" s="56">
        <v>0.05</v>
      </c>
      <c r="E184" s="64">
        <f>E171/(SUM(E170:E174))</f>
        <v>0.20791568731518689</v>
      </c>
      <c r="F184" s="45">
        <f t="shared" si="339"/>
        <v>1.774205777541891E-3</v>
      </c>
      <c r="G184" s="64">
        <f>G171/(SUM(G170:G174))</f>
        <v>0.20484235732340028</v>
      </c>
      <c r="H184" s="45">
        <f t="shared" si="340"/>
        <v>1.6495942530264731E-3</v>
      </c>
      <c r="I184" s="64">
        <f>I171/(SUM(I170:I174))</f>
        <v>0.33413654618473898</v>
      </c>
      <c r="J184" s="45">
        <f t="shared" si="341"/>
        <v>1.1646586345381526E-2</v>
      </c>
      <c r="O184" s="19"/>
      <c r="P184" s="19"/>
      <c r="Q184" s="19"/>
    </row>
    <row r="185" spans="2:17">
      <c r="B185" s="72"/>
      <c r="C185" s="75">
        <v>2</v>
      </c>
      <c r="D185" s="56">
        <v>0.05</v>
      </c>
      <c r="E185" s="64">
        <f>E172/(SUM(E170:E174))</f>
        <v>0.19907498673136706</v>
      </c>
      <c r="F185" s="45">
        <f t="shared" si="339"/>
        <v>1.743877473652286E-3</v>
      </c>
      <c r="G185" s="64">
        <f>G172/(SUM(G170:G174))</f>
        <v>0.20441665558068378</v>
      </c>
      <c r="H185" s="45">
        <f t="shared" si="340"/>
        <v>1.6495942530264731E-3</v>
      </c>
      <c r="I185" s="64">
        <f>I172/(SUM(I170:I174))</f>
        <v>1.8473895582329317E-2</v>
      </c>
      <c r="J185" s="45">
        <f t="shared" si="341"/>
        <v>2.8112449799196789E-3</v>
      </c>
      <c r="O185" s="19"/>
      <c r="P185" s="19"/>
      <c r="Q185" s="19"/>
    </row>
    <row r="186" spans="2:17">
      <c r="B186" s="72"/>
      <c r="C186" s="75">
        <v>3</v>
      </c>
      <c r="D186" s="56">
        <v>0.05</v>
      </c>
      <c r="E186" s="64">
        <f>E173/(SUM(E170:E174))</f>
        <v>0.19399499582985821</v>
      </c>
      <c r="F186" s="45">
        <f t="shared" si="339"/>
        <v>1.7135491697626811E-3</v>
      </c>
      <c r="G186" s="64">
        <f>G173/(SUM(G170:G174))</f>
        <v>0.19749900226154052</v>
      </c>
      <c r="H186" s="45">
        <f t="shared" si="340"/>
        <v>1.6229878941066917E-3</v>
      </c>
      <c r="I186" s="64">
        <f>I173/(SUM(I170:I174))</f>
        <v>1.0843373493975903E-2</v>
      </c>
      <c r="J186" s="45">
        <f t="shared" si="341"/>
        <v>2.0080321285140565E-3</v>
      </c>
      <c r="O186" s="19"/>
      <c r="P186" s="19"/>
      <c r="Q186" s="19"/>
    </row>
    <row r="187" spans="2:17">
      <c r="B187" s="72"/>
      <c r="C187" s="75">
        <v>4</v>
      </c>
      <c r="D187" s="56">
        <v>0.05</v>
      </c>
      <c r="E187" s="64">
        <f>E174/(SUM(E170:E174))</f>
        <v>0.1896732125255895</v>
      </c>
      <c r="F187" s="45">
        <f t="shared" si="339"/>
        <v>1.6983850178178784E-3</v>
      </c>
      <c r="G187" s="64">
        <f>G174/(SUM(G170:G174))</f>
        <v>0.18886523879207132</v>
      </c>
      <c r="H187" s="45">
        <f t="shared" si="340"/>
        <v>1.5830783557270187E-3</v>
      </c>
      <c r="I187" s="64">
        <f>I174/(SUM(I170:I174))</f>
        <v>9.2369477911646587E-3</v>
      </c>
      <c r="J187" s="45">
        <f t="shared" si="341"/>
        <v>2.008032128514056E-3</v>
      </c>
      <c r="O187" s="19"/>
      <c r="P187" s="19"/>
      <c r="Q187" s="19"/>
    </row>
    <row r="188" spans="2:17">
      <c r="B188" s="72"/>
      <c r="O188" s="19"/>
      <c r="P188" s="19"/>
      <c r="Q188" s="19"/>
    </row>
    <row r="189" spans="2:17">
      <c r="B189" s="72"/>
      <c r="O189" s="19"/>
      <c r="P189" s="19"/>
      <c r="Q189" s="19"/>
    </row>
    <row r="190" spans="2:17">
      <c r="B190" s="72"/>
      <c r="C190" s="75">
        <v>-4</v>
      </c>
      <c r="D190" s="56">
        <v>0.05</v>
      </c>
      <c r="E190" s="1">
        <f t="shared" ref="E190:E192" si="342">E167/$E$168</f>
        <v>0.99029783393501802</v>
      </c>
      <c r="I190" s="1">
        <f t="shared" ref="I190:I192" si="343">I167/$I$168</f>
        <v>0.47499999999999998</v>
      </c>
      <c r="J190" s="1">
        <f t="shared" ref="J190:J197" si="344">I190*J167/I167</f>
        <v>9.9999999999999992E-2</v>
      </c>
      <c r="O190" s="19"/>
      <c r="P190" s="19"/>
      <c r="Q190" s="19"/>
    </row>
    <row r="191" spans="2:17">
      <c r="B191" s="72"/>
      <c r="C191" s="75">
        <v>-3</v>
      </c>
      <c r="D191" s="56">
        <v>0.05</v>
      </c>
      <c r="E191" s="1">
        <f t="shared" si="342"/>
        <v>1</v>
      </c>
      <c r="I191" s="1">
        <f t="shared" si="343"/>
        <v>1</v>
      </c>
      <c r="J191" s="1">
        <f t="shared" si="344"/>
        <v>0.15</v>
      </c>
      <c r="O191" s="19"/>
      <c r="P191" s="19"/>
      <c r="Q191" s="19"/>
    </row>
    <row r="192" spans="2:17">
      <c r="B192" s="72"/>
      <c r="C192" s="75">
        <v>-2</v>
      </c>
      <c r="D192" s="56">
        <v>0.05</v>
      </c>
      <c r="E192" s="1">
        <f t="shared" si="342"/>
        <v>1.0100970216606497</v>
      </c>
      <c r="I192" s="1">
        <f t="shared" si="343"/>
        <v>1.575</v>
      </c>
      <c r="J192" s="1">
        <f t="shared" si="344"/>
        <v>0.19999999999999998</v>
      </c>
      <c r="O192" s="19"/>
      <c r="P192" s="19"/>
      <c r="Q192" s="19"/>
    </row>
    <row r="193" spans="2:17">
      <c r="B193" s="72"/>
      <c r="C193" s="75">
        <v>-1</v>
      </c>
      <c r="D193" s="56">
        <v>0.05</v>
      </c>
      <c r="E193" s="1">
        <f t="shared" ref="E193:E197" si="345">E170/$E$172</f>
        <v>1.0515691651432053</v>
      </c>
      <c r="I193" s="1">
        <f t="shared" ref="I193:I197" si="346">I170/$I$172</f>
        <v>33.956521739130437</v>
      </c>
      <c r="J193" s="1">
        <f t="shared" si="344"/>
        <v>0.86956521739130443</v>
      </c>
      <c r="O193" s="19"/>
      <c r="P193" s="19"/>
      <c r="Q193" s="19"/>
    </row>
    <row r="194" spans="2:17">
      <c r="C194" s="75">
        <v>1</v>
      </c>
      <c r="D194" s="56">
        <v>0.05</v>
      </c>
      <c r="E194" s="1">
        <f t="shared" si="345"/>
        <v>1.0444088970140157</v>
      </c>
      <c r="I194" s="1">
        <f t="shared" si="346"/>
        <v>18.086956521739129</v>
      </c>
      <c r="J194" s="1">
        <f t="shared" si="344"/>
        <v>0.63043478260869557</v>
      </c>
      <c r="O194" s="19"/>
      <c r="P194" s="19"/>
      <c r="Q194" s="19"/>
    </row>
    <row r="195" spans="2:17">
      <c r="C195" s="75">
        <v>2</v>
      </c>
      <c r="D195" s="56">
        <v>0.05</v>
      </c>
      <c r="E195" s="1">
        <f t="shared" si="345"/>
        <v>1</v>
      </c>
      <c r="I195" s="1">
        <f t="shared" si="346"/>
        <v>1</v>
      </c>
      <c r="J195" s="1">
        <f t="shared" si="344"/>
        <v>0.15217391304347827</v>
      </c>
      <c r="O195" s="19"/>
      <c r="P195" s="19"/>
      <c r="Q195" s="19"/>
    </row>
    <row r="196" spans="2:17">
      <c r="C196" s="75">
        <v>3</v>
      </c>
      <c r="D196" s="56">
        <v>0.05</v>
      </c>
      <c r="E196" s="1">
        <f t="shared" si="345"/>
        <v>0.97448202315661181</v>
      </c>
      <c r="I196" s="1">
        <f t="shared" si="346"/>
        <v>0.58695652173913049</v>
      </c>
      <c r="J196" s="1">
        <f t="shared" si="344"/>
        <v>0.10869565217391305</v>
      </c>
      <c r="O196" s="19"/>
      <c r="P196" s="19"/>
      <c r="Q196" s="19"/>
    </row>
    <row r="197" spans="2:17">
      <c r="C197" s="75">
        <v>4</v>
      </c>
      <c r="D197" s="56">
        <v>0.05</v>
      </c>
      <c r="E197" s="1">
        <f t="shared" si="345"/>
        <v>0.9527726995734308</v>
      </c>
      <c r="I197" s="1">
        <f t="shared" si="346"/>
        <v>0.5</v>
      </c>
      <c r="J197" s="1">
        <f t="shared" si="344"/>
        <v>0.10869565217391304</v>
      </c>
      <c r="O197" s="19"/>
      <c r="P197" s="19"/>
      <c r="Q197" s="19"/>
    </row>
    <row r="198" spans="2:17">
      <c r="O198" s="19"/>
      <c r="P198" s="19"/>
      <c r="Q198" s="19"/>
    </row>
    <row r="199" spans="2:17">
      <c r="O199" s="19"/>
      <c r="P199" s="19"/>
      <c r="Q199" s="19"/>
    </row>
    <row r="200" spans="2:17">
      <c r="O200" s="19"/>
      <c r="P200" s="19"/>
      <c r="Q200" s="19"/>
    </row>
    <row r="201" spans="2:17">
      <c r="O201" s="19"/>
      <c r="P201" s="19"/>
      <c r="Q201" s="19"/>
    </row>
    <row r="202" spans="2:17">
      <c r="O202" s="19"/>
      <c r="P202" s="19"/>
      <c r="Q202" s="19"/>
    </row>
    <row r="203" spans="2:17">
      <c r="O203" s="19"/>
      <c r="P203" s="19"/>
      <c r="Q203" s="19"/>
    </row>
    <row r="204" spans="2:17">
      <c r="O204" s="19"/>
      <c r="P204" s="19"/>
      <c r="Q204" s="19"/>
    </row>
    <row r="205" spans="2:17">
      <c r="O205" s="19"/>
      <c r="P205" s="19"/>
      <c r="Q205" s="19"/>
    </row>
    <row r="206" spans="2:17">
      <c r="O206" s="19"/>
      <c r="P206" s="19"/>
      <c r="Q206" s="19"/>
    </row>
    <row r="207" spans="2:17">
      <c r="O207" s="19"/>
      <c r="P207" s="19"/>
      <c r="Q207" s="19"/>
    </row>
    <row r="208" spans="2:17">
      <c r="O208" s="19"/>
      <c r="P208" s="19"/>
      <c r="Q208" s="19"/>
    </row>
    <row r="209" spans="15:17">
      <c r="O209" s="19"/>
      <c r="P209" s="19"/>
      <c r="Q209" s="19"/>
    </row>
    <row r="210" spans="15:17">
      <c r="O210" s="19"/>
      <c r="P210" s="19"/>
      <c r="Q210" s="19"/>
    </row>
    <row r="211" spans="15:17">
      <c r="O211" s="19"/>
      <c r="P211" s="19"/>
      <c r="Q211" s="19"/>
    </row>
    <row r="212" spans="15:17">
      <c r="O212" s="19"/>
      <c r="P212" s="19"/>
      <c r="Q212" s="19"/>
    </row>
    <row r="213" spans="15:17">
      <c r="O213" s="19"/>
      <c r="P213" s="19"/>
      <c r="Q213" s="19"/>
    </row>
    <row r="214" spans="15:17">
      <c r="O214" s="19"/>
      <c r="P214" s="19"/>
      <c r="Q214" s="19"/>
    </row>
    <row r="215" spans="15:17">
      <c r="O215" s="19"/>
      <c r="P215" s="19"/>
      <c r="Q215" s="19"/>
    </row>
    <row r="216" spans="15:17">
      <c r="O216" s="19"/>
      <c r="P216" s="19"/>
      <c r="Q216" s="19"/>
    </row>
    <row r="217" spans="15:17">
      <c r="O217" s="19"/>
      <c r="P217" s="19"/>
      <c r="Q217" s="19"/>
    </row>
    <row r="218" spans="15:17">
      <c r="O218" s="19"/>
      <c r="P218" s="19"/>
      <c r="Q218" s="19"/>
    </row>
    <row r="219" spans="15:17">
      <c r="O219" s="19"/>
      <c r="P219" s="19"/>
      <c r="Q219" s="19"/>
    </row>
    <row r="220" spans="15:17">
      <c r="O220" s="19"/>
      <c r="P220" s="19"/>
      <c r="Q220" s="19"/>
    </row>
    <row r="221" spans="15:17">
      <c r="O221" s="19"/>
      <c r="P221" s="19"/>
      <c r="Q221" s="19"/>
    </row>
    <row r="222" spans="15:17">
      <c r="O222" s="19"/>
      <c r="P222" s="19"/>
      <c r="Q222" s="19"/>
    </row>
    <row r="223" spans="15:17">
      <c r="O223" s="19"/>
      <c r="P223" s="19"/>
      <c r="Q223" s="19"/>
    </row>
    <row r="224" spans="15:17">
      <c r="O224" s="19"/>
      <c r="P224" s="19"/>
      <c r="Q224" s="19"/>
    </row>
    <row r="225" spans="15:17">
      <c r="O225" s="19"/>
      <c r="P225" s="19"/>
      <c r="Q225" s="19"/>
    </row>
    <row r="226" spans="15:17">
      <c r="O226" s="19"/>
      <c r="P226" s="19"/>
      <c r="Q226" s="19"/>
    </row>
    <row r="227" spans="15:17">
      <c r="O227" s="19"/>
      <c r="P227" s="19"/>
      <c r="Q227" s="19"/>
    </row>
    <row r="228" spans="15:17">
      <c r="O228" s="19"/>
      <c r="P228" s="19"/>
      <c r="Q228" s="19"/>
    </row>
    <row r="229" spans="15:17">
      <c r="O229" s="19"/>
      <c r="P229" s="19"/>
      <c r="Q229" s="19"/>
    </row>
    <row r="230" spans="15:17">
      <c r="O230" s="19"/>
      <c r="P230" s="19"/>
      <c r="Q230" s="19"/>
    </row>
    <row r="231" spans="15:17">
      <c r="O231" s="19"/>
      <c r="P231" s="19"/>
      <c r="Q231" s="19"/>
    </row>
    <row r="232" spans="15:17">
      <c r="O232" s="19"/>
      <c r="P232" s="19"/>
      <c r="Q232" s="19"/>
    </row>
    <row r="233" spans="15:17">
      <c r="O233" s="19"/>
      <c r="P233" s="19"/>
      <c r="Q233" s="19"/>
    </row>
    <row r="234" spans="15:17">
      <c r="O234" s="19"/>
      <c r="P234" s="19"/>
      <c r="Q234" s="19"/>
    </row>
    <row r="235" spans="15:17">
      <c r="O235" s="19"/>
      <c r="P235" s="19"/>
      <c r="Q235" s="19"/>
    </row>
    <row r="236" spans="15:17">
      <c r="O236" s="19"/>
      <c r="P236" s="19"/>
      <c r="Q236" s="19"/>
    </row>
    <row r="237" spans="15:17">
      <c r="O237" s="19"/>
      <c r="P237" s="19"/>
      <c r="Q237" s="19"/>
    </row>
    <row r="238" spans="15:17">
      <c r="O238" s="19"/>
      <c r="P238" s="19"/>
      <c r="Q238" s="19"/>
    </row>
    <row r="239" spans="15:17">
      <c r="O239" s="19"/>
      <c r="P239" s="19"/>
      <c r="Q239" s="19"/>
    </row>
    <row r="240" spans="15:17">
      <c r="O240" s="19"/>
      <c r="P240" s="19"/>
      <c r="Q240" s="19"/>
    </row>
    <row r="241" spans="15:17">
      <c r="O241" s="19"/>
      <c r="P241" s="19"/>
      <c r="Q241" s="19"/>
    </row>
    <row r="242" spans="15:17">
      <c r="O242" s="19"/>
      <c r="P242" s="19"/>
      <c r="Q242" s="19"/>
    </row>
    <row r="243" spans="15:17">
      <c r="O243" s="19"/>
      <c r="P243" s="19"/>
      <c r="Q243" s="19"/>
    </row>
    <row r="244" spans="15:17">
      <c r="O244" s="19"/>
      <c r="P244" s="19"/>
      <c r="Q244" s="19"/>
    </row>
    <row r="245" spans="15:17">
      <c r="O245" s="19"/>
      <c r="P245" s="19"/>
      <c r="Q245" s="19"/>
    </row>
    <row r="246" spans="15:17">
      <c r="O246" s="19"/>
      <c r="P246" s="19"/>
      <c r="Q246" s="19"/>
    </row>
    <row r="247" spans="15:17">
      <c r="O247" s="19"/>
      <c r="P247" s="19"/>
      <c r="Q247" s="19"/>
    </row>
    <row r="248" spans="15:17">
      <c r="O248" s="19"/>
      <c r="P248" s="19"/>
      <c r="Q248" s="19"/>
    </row>
    <row r="249" spans="15:17">
      <c r="O249" s="19"/>
      <c r="P249" s="19"/>
      <c r="Q249" s="19"/>
    </row>
    <row r="250" spans="15:17">
      <c r="O250" s="19"/>
      <c r="P250" s="19"/>
      <c r="Q250" s="19"/>
    </row>
    <row r="251" spans="15:17">
      <c r="O251" s="19"/>
      <c r="P251" s="19"/>
      <c r="Q251" s="19"/>
    </row>
    <row r="252" spans="15:17">
      <c r="O252" s="19"/>
      <c r="P252" s="19"/>
      <c r="Q252" s="19"/>
    </row>
    <row r="253" spans="15:17">
      <c r="O253" s="19"/>
      <c r="P253" s="19"/>
      <c r="Q253" s="19"/>
    </row>
    <row r="254" spans="15:17">
      <c r="O254" s="19"/>
      <c r="P254" s="19"/>
      <c r="Q254" s="19"/>
    </row>
    <row r="255" spans="15:17">
      <c r="O255" s="19"/>
      <c r="P255" s="19"/>
      <c r="Q255" s="19"/>
    </row>
    <row r="256" spans="15:17">
      <c r="O256" s="19"/>
      <c r="P256" s="19"/>
      <c r="Q256" s="19"/>
    </row>
    <row r="257" spans="15:17">
      <c r="O257" s="19"/>
      <c r="P257" s="19"/>
      <c r="Q257" s="19"/>
    </row>
    <row r="258" spans="15:17">
      <c r="O258" s="19"/>
      <c r="P258" s="19"/>
      <c r="Q258" s="19"/>
    </row>
    <row r="259" spans="15:17">
      <c r="O259" s="19"/>
      <c r="P259" s="19"/>
      <c r="Q259" s="19"/>
    </row>
    <row r="260" spans="15:17">
      <c r="O260" s="19"/>
      <c r="P260" s="19"/>
      <c r="Q260" s="19"/>
    </row>
    <row r="261" spans="15:17">
      <c r="O261" s="19"/>
      <c r="P261" s="19"/>
      <c r="Q261" s="19"/>
    </row>
    <row r="262" spans="15:17">
      <c r="O262" s="19"/>
      <c r="P262" s="19"/>
      <c r="Q262" s="19"/>
    </row>
    <row r="263" spans="15:17">
      <c r="O263" s="19"/>
      <c r="P263" s="19"/>
      <c r="Q263" s="19"/>
    </row>
    <row r="264" spans="15:17">
      <c r="O264" s="19"/>
      <c r="P264" s="19"/>
      <c r="Q264" s="19"/>
    </row>
    <row r="265" spans="15:17">
      <c r="O265" s="19"/>
      <c r="P265" s="19"/>
      <c r="Q265" s="19"/>
    </row>
    <row r="266" spans="15:17">
      <c r="O266" s="19"/>
      <c r="P266" s="19"/>
      <c r="Q266" s="19"/>
    </row>
    <row r="267" spans="15:17">
      <c r="O267" s="19"/>
      <c r="P267" s="19"/>
      <c r="Q267" s="19"/>
    </row>
    <row r="268" spans="15:17">
      <c r="O268" s="19"/>
      <c r="P268" s="19"/>
      <c r="Q268" s="19"/>
    </row>
    <row r="269" spans="15:17">
      <c r="O269" s="19"/>
      <c r="P269" s="19"/>
      <c r="Q269" s="19"/>
    </row>
    <row r="270" spans="15:17">
      <c r="O270" s="19"/>
      <c r="P270" s="19"/>
      <c r="Q270" s="19"/>
    </row>
    <row r="271" spans="15:17">
      <c r="O271" s="19"/>
      <c r="P271" s="19"/>
      <c r="Q271" s="19"/>
    </row>
    <row r="272" spans="15:17">
      <c r="O272" s="19"/>
      <c r="P272" s="19"/>
      <c r="Q272" s="19"/>
    </row>
    <row r="273" spans="15:17">
      <c r="O273" s="19"/>
      <c r="P273" s="19"/>
      <c r="Q273" s="19"/>
    </row>
    <row r="274" spans="15:17">
      <c r="O274" s="19"/>
      <c r="P274" s="19"/>
      <c r="Q274" s="19"/>
    </row>
    <row r="275" spans="15:17">
      <c r="O275" s="19"/>
      <c r="P275" s="19"/>
      <c r="Q275" s="19"/>
    </row>
    <row r="276" spans="15:17">
      <c r="O276" s="19"/>
      <c r="P276" s="19"/>
      <c r="Q276" s="19"/>
    </row>
    <row r="277" spans="15:17">
      <c r="O277" s="19"/>
      <c r="P277" s="19"/>
      <c r="Q277" s="19"/>
    </row>
    <row r="278" spans="15:17">
      <c r="O278" s="19"/>
      <c r="P278" s="19"/>
      <c r="Q278" s="19"/>
    </row>
    <row r="279" spans="15:17">
      <c r="O279" s="19"/>
      <c r="P279" s="19"/>
      <c r="Q279" s="19"/>
    </row>
    <row r="280" spans="15:17">
      <c r="O280" s="19"/>
      <c r="P280" s="19"/>
      <c r="Q280" s="19"/>
    </row>
    <row r="281" spans="15:17">
      <c r="O281" s="19"/>
      <c r="P281" s="19"/>
      <c r="Q281" s="19"/>
    </row>
    <row r="282" spans="15:17">
      <c r="O282" s="19"/>
      <c r="P282" s="19"/>
      <c r="Q282" s="19"/>
    </row>
    <row r="283" spans="15:17">
      <c r="O283" s="19"/>
      <c r="P283" s="19"/>
      <c r="Q283" s="19"/>
    </row>
    <row r="284" spans="15:17">
      <c r="O284" s="19"/>
      <c r="P284" s="19"/>
      <c r="Q284" s="19"/>
    </row>
    <row r="285" spans="15:17">
      <c r="O285" s="19"/>
      <c r="P285" s="19"/>
      <c r="Q285" s="19"/>
    </row>
    <row r="286" spans="15:17">
      <c r="O286" s="19"/>
      <c r="P286" s="19"/>
      <c r="Q286" s="19"/>
    </row>
    <row r="287" spans="15:17">
      <c r="O287" s="19"/>
      <c r="P287" s="19"/>
      <c r="Q287" s="19"/>
    </row>
    <row r="288" spans="15:17">
      <c r="O288" s="19"/>
      <c r="P288" s="19"/>
      <c r="Q288" s="19"/>
    </row>
    <row r="289" spans="15:17">
      <c r="O289" s="19"/>
      <c r="P289" s="19"/>
      <c r="Q289" s="19"/>
    </row>
    <row r="290" spans="15:17">
      <c r="O290" s="19"/>
      <c r="P290" s="19"/>
      <c r="Q290" s="19"/>
    </row>
    <row r="291" spans="15:17">
      <c r="O291" s="19"/>
      <c r="P291" s="19"/>
      <c r="Q291" s="19"/>
    </row>
    <row r="292" spans="15:17">
      <c r="O292" s="19"/>
      <c r="P292" s="19"/>
      <c r="Q292" s="19"/>
    </row>
    <row r="293" spans="15:17">
      <c r="O293" s="19"/>
      <c r="P293" s="19"/>
      <c r="Q293" s="19"/>
    </row>
    <row r="294" spans="15:17">
      <c r="O294" s="19"/>
      <c r="P294" s="19"/>
      <c r="Q294" s="19"/>
    </row>
    <row r="295" spans="15:17">
      <c r="O295" s="19"/>
      <c r="P295" s="19"/>
      <c r="Q295" s="19"/>
    </row>
    <row r="296" spans="15:17">
      <c r="O296" s="19"/>
      <c r="P296" s="19"/>
      <c r="Q296" s="19"/>
    </row>
    <row r="297" spans="15:17">
      <c r="O297" s="19"/>
      <c r="P297" s="19"/>
      <c r="Q297" s="19"/>
    </row>
    <row r="298" spans="15:17">
      <c r="O298" s="19"/>
      <c r="P298" s="19"/>
      <c r="Q298" s="19"/>
    </row>
    <row r="299" spans="15:17">
      <c r="O299" s="19"/>
      <c r="P299" s="19"/>
      <c r="Q299" s="19"/>
    </row>
    <row r="300" spans="15:17">
      <c r="O300" s="19"/>
      <c r="P300" s="19"/>
      <c r="Q300" s="19"/>
    </row>
    <row r="301" spans="15:17">
      <c r="O301" s="19"/>
      <c r="P301" s="19"/>
      <c r="Q301" s="19"/>
    </row>
    <row r="302" spans="15:17">
      <c r="O302" s="19"/>
      <c r="P302" s="19"/>
      <c r="Q302" s="19"/>
    </row>
    <row r="303" spans="15:17">
      <c r="O303" s="19"/>
      <c r="P303" s="19"/>
      <c r="Q303" s="19"/>
    </row>
    <row r="304" spans="15:17">
      <c r="O304" s="19"/>
      <c r="P304" s="19"/>
      <c r="Q304" s="19"/>
    </row>
    <row r="305" spans="15:17">
      <c r="O305" s="19"/>
      <c r="P305" s="19"/>
      <c r="Q305" s="19"/>
    </row>
    <row r="306" spans="15:17">
      <c r="O306" s="19"/>
      <c r="P306" s="19"/>
      <c r="Q306" s="19"/>
    </row>
    <row r="307" spans="15:17">
      <c r="O307" s="19"/>
      <c r="P307" s="19"/>
      <c r="Q307" s="19"/>
    </row>
    <row r="308" spans="15:17">
      <c r="O308" s="19"/>
      <c r="P308" s="19"/>
      <c r="Q308" s="19"/>
    </row>
    <row r="309" spans="15:17">
      <c r="O309" s="19"/>
      <c r="P309" s="19"/>
      <c r="Q309" s="19"/>
    </row>
    <row r="310" spans="15:17">
      <c r="O310" s="19"/>
      <c r="P310" s="19"/>
      <c r="Q310" s="19"/>
    </row>
    <row r="311" spans="15:17">
      <c r="O311" s="19"/>
      <c r="P311" s="19"/>
      <c r="Q311" s="19"/>
    </row>
    <row r="312" spans="15:17">
      <c r="O312" s="19"/>
      <c r="P312" s="19"/>
      <c r="Q312" s="19"/>
    </row>
    <row r="313" spans="15:17">
      <c r="O313" s="19"/>
      <c r="P313" s="19"/>
      <c r="Q313" s="19"/>
    </row>
    <row r="314" spans="15:17">
      <c r="O314" s="19"/>
      <c r="P314" s="19"/>
      <c r="Q314" s="19"/>
    </row>
    <row r="315" spans="15:17">
      <c r="O315" s="19"/>
      <c r="P315" s="19"/>
      <c r="Q315" s="19"/>
    </row>
    <row r="316" spans="15:17">
      <c r="O316" s="19"/>
      <c r="P316" s="19"/>
      <c r="Q316" s="19"/>
    </row>
    <row r="317" spans="15:17">
      <c r="O317" s="19"/>
      <c r="P317" s="19"/>
      <c r="Q317" s="19"/>
    </row>
    <row r="318" spans="15:17">
      <c r="O318" s="19"/>
      <c r="P318" s="19"/>
      <c r="Q318" s="19"/>
    </row>
    <row r="319" spans="15:17">
      <c r="O319" s="19"/>
      <c r="P319" s="19"/>
      <c r="Q319" s="19"/>
    </row>
    <row r="320" spans="15:17">
      <c r="O320" s="19"/>
      <c r="P320" s="19"/>
      <c r="Q320" s="19"/>
    </row>
    <row r="321" spans="15:17">
      <c r="O321" s="19"/>
      <c r="P321" s="19"/>
      <c r="Q321" s="19"/>
    </row>
    <row r="322" spans="15:17">
      <c r="O322" s="19"/>
      <c r="P322" s="19"/>
      <c r="Q322" s="19"/>
    </row>
    <row r="323" spans="15:17">
      <c r="O323" s="19"/>
      <c r="P323" s="19"/>
      <c r="Q323" s="19"/>
    </row>
    <row r="324" spans="15:17">
      <c r="O324" s="19"/>
      <c r="P324" s="19"/>
      <c r="Q324" s="19"/>
    </row>
    <row r="325" spans="15:17">
      <c r="O325" s="19"/>
      <c r="P325" s="19"/>
      <c r="Q325" s="19"/>
    </row>
    <row r="326" spans="15:17">
      <c r="O326" s="19"/>
      <c r="P326" s="19"/>
      <c r="Q326" s="19"/>
    </row>
    <row r="327" spans="15:17">
      <c r="O327" s="19"/>
      <c r="P327" s="19"/>
      <c r="Q327" s="19"/>
    </row>
    <row r="328" spans="15:17">
      <c r="O328" s="19"/>
      <c r="P328" s="19"/>
      <c r="Q328" s="19"/>
    </row>
    <row r="329" spans="15:17">
      <c r="O329" s="19"/>
      <c r="P329" s="19"/>
      <c r="Q329" s="19"/>
    </row>
    <row r="330" spans="15:17">
      <c r="O330" s="19"/>
      <c r="P330" s="19"/>
      <c r="Q330" s="19"/>
    </row>
    <row r="331" spans="15:17">
      <c r="O331" s="19"/>
      <c r="P331" s="19"/>
      <c r="Q331" s="19"/>
    </row>
    <row r="332" spans="15:17">
      <c r="O332" s="19"/>
      <c r="P332" s="19"/>
      <c r="Q332" s="19"/>
    </row>
    <row r="333" spans="15:17">
      <c r="O333" s="19"/>
      <c r="P333" s="19"/>
      <c r="Q333" s="19"/>
    </row>
    <row r="334" spans="15:17">
      <c r="O334" s="19"/>
      <c r="P334" s="19"/>
      <c r="Q334" s="19"/>
    </row>
    <row r="335" spans="15:17">
      <c r="O335" s="19"/>
      <c r="P335" s="19"/>
      <c r="Q335" s="19"/>
    </row>
    <row r="336" spans="15:17">
      <c r="O336" s="19"/>
      <c r="P336" s="19"/>
      <c r="Q336" s="19"/>
    </row>
    <row r="337" spans="15:17">
      <c r="O337" s="19"/>
      <c r="P337" s="19"/>
      <c r="Q337" s="19"/>
    </row>
    <row r="338" spans="15:17">
      <c r="O338" s="19"/>
      <c r="P338" s="19"/>
      <c r="Q338" s="19"/>
    </row>
    <row r="339" spans="15:17">
      <c r="O339" s="19"/>
      <c r="P339" s="19"/>
      <c r="Q339" s="19"/>
    </row>
    <row r="340" spans="15:17">
      <c r="O340" s="19"/>
      <c r="P340" s="19"/>
      <c r="Q340" s="19"/>
    </row>
    <row r="341" spans="15:17">
      <c r="O341" s="19"/>
      <c r="P341" s="19"/>
      <c r="Q341" s="19"/>
    </row>
    <row r="342" spans="15:17">
      <c r="O342" s="19"/>
      <c r="P342" s="19"/>
      <c r="Q342" s="19"/>
    </row>
    <row r="343" spans="15:17">
      <c r="O343" s="19"/>
      <c r="P343" s="19"/>
      <c r="Q343" s="19"/>
    </row>
    <row r="344" spans="15:17">
      <c r="O344" s="19"/>
      <c r="P344" s="19"/>
      <c r="Q344" s="19"/>
    </row>
    <row r="345" spans="15:17">
      <c r="O345" s="19"/>
      <c r="P345" s="19"/>
      <c r="Q345" s="19"/>
    </row>
    <row r="346" spans="15:17">
      <c r="O346" s="19"/>
      <c r="P346" s="19"/>
      <c r="Q346" s="19"/>
    </row>
    <row r="347" spans="15:17">
      <c r="O347" s="19"/>
      <c r="P347" s="19"/>
      <c r="Q347" s="19"/>
    </row>
    <row r="348" spans="15:17">
      <c r="O348" s="19"/>
      <c r="P348" s="19"/>
      <c r="Q348" s="19"/>
    </row>
    <row r="349" spans="15:17">
      <c r="O349" s="19"/>
      <c r="P349" s="19"/>
      <c r="Q349" s="19"/>
    </row>
    <row r="350" spans="15:17">
      <c r="O350" s="19"/>
      <c r="P350" s="19"/>
      <c r="Q350" s="19"/>
    </row>
    <row r="351" spans="15:17">
      <c r="O351" s="19"/>
      <c r="P351" s="19"/>
      <c r="Q351" s="19"/>
    </row>
    <row r="352" spans="15:17">
      <c r="O352" s="19"/>
      <c r="P352" s="19"/>
      <c r="Q352" s="19"/>
    </row>
    <row r="353" spans="15:17">
      <c r="O353" s="19"/>
      <c r="P353" s="19"/>
      <c r="Q353" s="19"/>
    </row>
    <row r="354" spans="15:17">
      <c r="O354" s="19"/>
      <c r="P354" s="19"/>
      <c r="Q354" s="19"/>
    </row>
    <row r="355" spans="15:17">
      <c r="O355" s="19"/>
      <c r="P355" s="19"/>
      <c r="Q355" s="19"/>
    </row>
    <row r="356" spans="15:17">
      <c r="O356" s="19"/>
      <c r="P356" s="19"/>
      <c r="Q356" s="19"/>
    </row>
    <row r="357" spans="15:17">
      <c r="O357" s="19"/>
      <c r="P357" s="19"/>
      <c r="Q357" s="19"/>
    </row>
    <row r="358" spans="15:17">
      <c r="O358" s="19"/>
      <c r="P358" s="19"/>
      <c r="Q358" s="19"/>
    </row>
    <row r="359" spans="15:17">
      <c r="O359" s="19"/>
      <c r="P359" s="19"/>
      <c r="Q359" s="19"/>
    </row>
    <row r="360" spans="15:17">
      <c r="O360" s="19"/>
      <c r="P360" s="19"/>
      <c r="Q360" s="19"/>
    </row>
    <row r="361" spans="15:17">
      <c r="O361" s="19"/>
      <c r="P361" s="19"/>
      <c r="Q361" s="19"/>
    </row>
    <row r="362" spans="15:17">
      <c r="O362" s="19"/>
      <c r="P362" s="19"/>
      <c r="Q362" s="19"/>
    </row>
    <row r="363" spans="15:17">
      <c r="O363" s="19"/>
      <c r="P363" s="19"/>
      <c r="Q363" s="19"/>
    </row>
    <row r="364" spans="15:17">
      <c r="O364" s="19"/>
      <c r="P364" s="19"/>
      <c r="Q364" s="19"/>
    </row>
    <row r="365" spans="15:17">
      <c r="O365" s="19"/>
      <c r="P365" s="19"/>
      <c r="Q365" s="19"/>
    </row>
    <row r="366" spans="15:17">
      <c r="O366" s="19"/>
      <c r="P366" s="19"/>
      <c r="Q366" s="19"/>
    </row>
    <row r="367" spans="15:17">
      <c r="O367" s="19"/>
      <c r="P367" s="19"/>
      <c r="Q367" s="19"/>
    </row>
    <row r="368" spans="15:17">
      <c r="O368" s="19"/>
      <c r="P368" s="19"/>
      <c r="Q368" s="19"/>
    </row>
    <row r="369" spans="15:17">
      <c r="O369" s="19"/>
      <c r="P369" s="19"/>
      <c r="Q369" s="19"/>
    </row>
    <row r="370" spans="15:17">
      <c r="O370" s="19"/>
      <c r="P370" s="19"/>
      <c r="Q370" s="19"/>
    </row>
    <row r="371" spans="15:17">
      <c r="O371" s="19"/>
      <c r="P371" s="19"/>
      <c r="Q371" s="19"/>
    </row>
    <row r="372" spans="15:17">
      <c r="O372" s="19"/>
      <c r="P372" s="19"/>
      <c r="Q372" s="19"/>
    </row>
    <row r="373" spans="15:17">
      <c r="O373" s="19"/>
      <c r="P373" s="19"/>
      <c r="Q373" s="19"/>
    </row>
    <row r="374" spans="15:17">
      <c r="O374" s="19"/>
      <c r="P374" s="19"/>
      <c r="Q374" s="19"/>
    </row>
    <row r="375" spans="15:17">
      <c r="O375" s="19"/>
      <c r="P375" s="19"/>
      <c r="Q375" s="19"/>
    </row>
    <row r="376" spans="15:17">
      <c r="O376" s="19"/>
      <c r="P376" s="19"/>
      <c r="Q376" s="19"/>
    </row>
    <row r="377" spans="15:17">
      <c r="O377" s="19"/>
      <c r="P377" s="19"/>
      <c r="Q377" s="19"/>
    </row>
    <row r="378" spans="15:17">
      <c r="O378" s="19"/>
      <c r="P378" s="19"/>
      <c r="Q378" s="19"/>
    </row>
    <row r="379" spans="15:17">
      <c r="O379" s="19"/>
      <c r="P379" s="19"/>
      <c r="Q379" s="19"/>
    </row>
    <row r="380" spans="15:17">
      <c r="O380" s="19"/>
      <c r="P380" s="19"/>
      <c r="Q380" s="19"/>
    </row>
    <row r="381" spans="15:17">
      <c r="O381" s="19"/>
      <c r="P381" s="19"/>
      <c r="Q381" s="19"/>
    </row>
    <row r="382" spans="15:17">
      <c r="O382" s="19"/>
      <c r="P382" s="19"/>
      <c r="Q382" s="19"/>
    </row>
    <row r="383" spans="15:17">
      <c r="O383" s="19"/>
      <c r="P383" s="19"/>
      <c r="Q383" s="19"/>
    </row>
    <row r="384" spans="15:17">
      <c r="O384" s="19"/>
      <c r="P384" s="19"/>
      <c r="Q384" s="19"/>
    </row>
    <row r="385" spans="15:17">
      <c r="O385" s="19"/>
      <c r="P385" s="19"/>
      <c r="Q385" s="19"/>
    </row>
    <row r="386" spans="15:17">
      <c r="O386" s="19"/>
      <c r="P386" s="19"/>
      <c r="Q386" s="19"/>
    </row>
    <row r="387" spans="15:17">
      <c r="O387" s="19"/>
      <c r="P387" s="19"/>
      <c r="Q387" s="19"/>
    </row>
    <row r="388" spans="15:17">
      <c r="O388" s="19"/>
      <c r="P388" s="19"/>
      <c r="Q388" s="19"/>
    </row>
    <row r="389" spans="15:17">
      <c r="O389" s="19"/>
      <c r="P389" s="19"/>
      <c r="Q389" s="19"/>
    </row>
    <row r="390" spans="15:17">
      <c r="O390" s="19"/>
      <c r="P390" s="19"/>
      <c r="Q390" s="19"/>
    </row>
    <row r="391" spans="15:17">
      <c r="O391" s="19"/>
      <c r="P391" s="19"/>
      <c r="Q391" s="19"/>
    </row>
    <row r="392" spans="15:17">
      <c r="O392" s="19"/>
      <c r="P392" s="19"/>
      <c r="Q392" s="19"/>
    </row>
    <row r="393" spans="15:17">
      <c r="O393" s="19"/>
      <c r="P393" s="19"/>
      <c r="Q393" s="19"/>
    </row>
    <row r="394" spans="15:17">
      <c r="O394" s="19"/>
      <c r="P394" s="19"/>
      <c r="Q394" s="19"/>
    </row>
    <row r="395" spans="15:17">
      <c r="O395" s="19"/>
      <c r="P395" s="19"/>
      <c r="Q395" s="19"/>
    </row>
    <row r="396" spans="15:17">
      <c r="O396" s="19"/>
      <c r="P396" s="19"/>
      <c r="Q396" s="19"/>
    </row>
    <row r="397" spans="15:17">
      <c r="O397" s="19"/>
      <c r="P397" s="19"/>
      <c r="Q397" s="19"/>
    </row>
    <row r="398" spans="15:17">
      <c r="O398" s="19"/>
      <c r="P398" s="19"/>
      <c r="Q398" s="19"/>
    </row>
    <row r="399" spans="15:17">
      <c r="O399" s="19"/>
      <c r="P399" s="19"/>
      <c r="Q399" s="19"/>
    </row>
    <row r="400" spans="15:17">
      <c r="O400" s="19"/>
      <c r="P400" s="19"/>
      <c r="Q400" s="19"/>
    </row>
    <row r="401" spans="15:17">
      <c r="O401" s="19"/>
      <c r="P401" s="19"/>
      <c r="Q401" s="19"/>
    </row>
    <row r="402" spans="15:17">
      <c r="O402" s="19"/>
      <c r="P402" s="19"/>
      <c r="Q402" s="19"/>
    </row>
    <row r="403" spans="15:17">
      <c r="O403" s="19"/>
      <c r="P403" s="19"/>
      <c r="Q403" s="19"/>
    </row>
    <row r="404" spans="15:17">
      <c r="O404" s="19"/>
      <c r="P404" s="19"/>
      <c r="Q404" s="19"/>
    </row>
    <row r="405" spans="15:17">
      <c r="O405" s="19"/>
      <c r="P405" s="19"/>
      <c r="Q405" s="19"/>
    </row>
    <row r="406" spans="15:17">
      <c r="O406" s="19"/>
      <c r="P406" s="19"/>
      <c r="Q406" s="19"/>
    </row>
    <row r="407" spans="15:17">
      <c r="O407" s="19"/>
      <c r="P407" s="19"/>
      <c r="Q407" s="19"/>
    </row>
    <row r="408" spans="15:17">
      <c r="O408" s="19"/>
      <c r="P408" s="19"/>
      <c r="Q408" s="19"/>
    </row>
    <row r="409" spans="15:17">
      <c r="O409" s="19"/>
      <c r="P409" s="19"/>
      <c r="Q409" s="19"/>
    </row>
    <row r="410" spans="15:17">
      <c r="O410" s="19"/>
      <c r="P410" s="19"/>
      <c r="Q410" s="19"/>
    </row>
    <row r="411" spans="15:17">
      <c r="O411" s="19"/>
      <c r="P411" s="19"/>
      <c r="Q411" s="19"/>
    </row>
    <row r="412" spans="15:17">
      <c r="O412" s="19"/>
      <c r="P412" s="19"/>
      <c r="Q412" s="19"/>
    </row>
    <row r="413" spans="15:17">
      <c r="O413" s="19"/>
      <c r="P413" s="19"/>
      <c r="Q413" s="19"/>
    </row>
    <row r="414" spans="15:17">
      <c r="O414" s="19"/>
      <c r="P414" s="19"/>
      <c r="Q414" s="19"/>
    </row>
    <row r="415" spans="15:17">
      <c r="O415" s="19"/>
      <c r="P415" s="19"/>
      <c r="Q415" s="19"/>
    </row>
    <row r="416" spans="15:17">
      <c r="O416" s="19"/>
      <c r="P416" s="19"/>
      <c r="Q416" s="19"/>
    </row>
    <row r="417" spans="15:17">
      <c r="O417" s="19"/>
      <c r="P417" s="19"/>
      <c r="Q417" s="19"/>
    </row>
    <row r="418" spans="15:17">
      <c r="O418" s="19"/>
      <c r="P418" s="19"/>
      <c r="Q418" s="19"/>
    </row>
    <row r="419" spans="15:17">
      <c r="O419" s="19"/>
      <c r="P419" s="19"/>
      <c r="Q419" s="19"/>
    </row>
    <row r="420" spans="15:17">
      <c r="O420" s="19"/>
      <c r="P420" s="19"/>
      <c r="Q420" s="19"/>
    </row>
    <row r="421" spans="15:17">
      <c r="O421" s="19"/>
      <c r="P421" s="19"/>
      <c r="Q421" s="19"/>
    </row>
    <row r="422" spans="15:17">
      <c r="O422" s="19"/>
      <c r="P422" s="19"/>
      <c r="Q422" s="19"/>
    </row>
    <row r="423" spans="15:17">
      <c r="O423" s="19"/>
      <c r="P423" s="19"/>
      <c r="Q423" s="19"/>
    </row>
    <row r="424" spans="15:17">
      <c r="O424" s="19"/>
      <c r="P424" s="19"/>
      <c r="Q424" s="19"/>
    </row>
    <row r="425" spans="15:17">
      <c r="O425" s="19"/>
      <c r="P425" s="19"/>
      <c r="Q425" s="19"/>
    </row>
    <row r="426" spans="15:17">
      <c r="O426" s="19"/>
      <c r="P426" s="19"/>
      <c r="Q426" s="19"/>
    </row>
    <row r="427" spans="15:17">
      <c r="O427" s="19"/>
      <c r="P427" s="19"/>
      <c r="Q427" s="19"/>
    </row>
    <row r="428" spans="15:17">
      <c r="O428" s="19"/>
      <c r="P428" s="19"/>
      <c r="Q428" s="19"/>
    </row>
    <row r="429" spans="15:17">
      <c r="O429" s="19"/>
      <c r="P429" s="19"/>
      <c r="Q429" s="19"/>
    </row>
    <row r="430" spans="15:17">
      <c r="O430" s="19"/>
      <c r="P430" s="19"/>
      <c r="Q430" s="19"/>
    </row>
    <row r="431" spans="15:17">
      <c r="O431" s="19"/>
      <c r="P431" s="19"/>
      <c r="Q431" s="19"/>
    </row>
    <row r="432" spans="15:17">
      <c r="O432" s="19"/>
      <c r="P432" s="19"/>
      <c r="Q432" s="19"/>
    </row>
    <row r="433" spans="15:17">
      <c r="O433" s="19"/>
      <c r="P433" s="19"/>
      <c r="Q433" s="19"/>
    </row>
    <row r="434" spans="15:17">
      <c r="O434" s="19"/>
      <c r="P434" s="19"/>
      <c r="Q434" s="19"/>
    </row>
    <row r="435" spans="15:17">
      <c r="O435" s="19"/>
      <c r="P435" s="19"/>
      <c r="Q435" s="19"/>
    </row>
    <row r="436" spans="15:17">
      <c r="O436" s="19"/>
      <c r="P436" s="19"/>
      <c r="Q436" s="19"/>
    </row>
    <row r="437" spans="15:17">
      <c r="O437" s="19"/>
      <c r="P437" s="19"/>
      <c r="Q437" s="19"/>
    </row>
    <row r="438" spans="15:17">
      <c r="O438" s="19"/>
      <c r="P438" s="19"/>
      <c r="Q438" s="19"/>
    </row>
    <row r="439" spans="15:17">
      <c r="O439" s="19"/>
      <c r="P439" s="19"/>
      <c r="Q439" s="19"/>
    </row>
    <row r="440" spans="15:17">
      <c r="O440" s="19"/>
      <c r="P440" s="19"/>
      <c r="Q440" s="19"/>
    </row>
    <row r="441" spans="15:17">
      <c r="O441" s="19"/>
      <c r="P441" s="19"/>
      <c r="Q441" s="19"/>
    </row>
    <row r="442" spans="15:17">
      <c r="O442" s="19"/>
      <c r="P442" s="19"/>
      <c r="Q442" s="19"/>
    </row>
    <row r="443" spans="15:17">
      <c r="O443" s="19"/>
      <c r="P443" s="19"/>
      <c r="Q443" s="19"/>
    </row>
    <row r="444" spans="15:17">
      <c r="O444" s="19"/>
      <c r="P444" s="19"/>
      <c r="Q444" s="19"/>
    </row>
    <row r="445" spans="15:17">
      <c r="O445" s="19"/>
      <c r="P445" s="19"/>
      <c r="Q445" s="19"/>
    </row>
    <row r="446" spans="15:17">
      <c r="O446" s="19"/>
      <c r="P446" s="19"/>
      <c r="Q446" s="19"/>
    </row>
    <row r="447" spans="15:17">
      <c r="O447" s="19"/>
      <c r="P447" s="19"/>
      <c r="Q447" s="19"/>
    </row>
    <row r="448" spans="15:17">
      <c r="O448" s="19"/>
      <c r="P448" s="19"/>
      <c r="Q448" s="19"/>
    </row>
    <row r="449" spans="15:17">
      <c r="O449" s="19"/>
      <c r="P449" s="19"/>
      <c r="Q449" s="19"/>
    </row>
    <row r="450" spans="15:17">
      <c r="O450" s="19"/>
      <c r="P450" s="19"/>
      <c r="Q450" s="19"/>
    </row>
    <row r="451" spans="15:17">
      <c r="O451" s="19"/>
      <c r="P451" s="19"/>
      <c r="Q451" s="19"/>
    </row>
    <row r="452" spans="15:17">
      <c r="O452" s="19"/>
      <c r="P452" s="19"/>
      <c r="Q452" s="19"/>
    </row>
    <row r="453" spans="15:17">
      <c r="O453" s="19"/>
      <c r="P453" s="19"/>
      <c r="Q453" s="19"/>
    </row>
    <row r="454" spans="15:17">
      <c r="O454" s="19"/>
      <c r="P454" s="19"/>
      <c r="Q454" s="19"/>
    </row>
    <row r="455" spans="15:17">
      <c r="O455" s="19"/>
      <c r="P455" s="19"/>
      <c r="Q455" s="19"/>
    </row>
    <row r="456" spans="15:17">
      <c r="O456" s="19"/>
      <c r="P456" s="19"/>
      <c r="Q456" s="19"/>
    </row>
    <row r="457" spans="15:17">
      <c r="O457" s="19"/>
      <c r="P457" s="19"/>
      <c r="Q457" s="19"/>
    </row>
    <row r="458" spans="15:17">
      <c r="O458" s="19"/>
      <c r="P458" s="19"/>
      <c r="Q458" s="19"/>
    </row>
    <row r="459" spans="15:17">
      <c r="O459" s="19"/>
      <c r="P459" s="19"/>
      <c r="Q459" s="19"/>
    </row>
    <row r="460" spans="15:17">
      <c r="O460" s="19"/>
      <c r="P460" s="19"/>
      <c r="Q460" s="19"/>
    </row>
    <row r="461" spans="15:17">
      <c r="O461" s="19"/>
      <c r="P461" s="19"/>
      <c r="Q461" s="19"/>
    </row>
    <row r="462" spans="15:17">
      <c r="O462" s="19"/>
      <c r="P462" s="19"/>
      <c r="Q462" s="19"/>
    </row>
    <row r="463" spans="15:17">
      <c r="O463" s="19"/>
      <c r="P463" s="19"/>
      <c r="Q463" s="19"/>
    </row>
    <row r="464" spans="15:17">
      <c r="O464" s="19"/>
      <c r="P464" s="19"/>
      <c r="Q464" s="19"/>
    </row>
    <row r="465" spans="15:17">
      <c r="O465" s="19"/>
      <c r="P465" s="19"/>
      <c r="Q465" s="19"/>
    </row>
    <row r="466" spans="15:17">
      <c r="O466" s="19"/>
      <c r="P466" s="19"/>
      <c r="Q466" s="19"/>
    </row>
    <row r="467" spans="15:17">
      <c r="O467" s="19"/>
      <c r="P467" s="19"/>
      <c r="Q467" s="19"/>
    </row>
    <row r="468" spans="15:17">
      <c r="O468" s="19"/>
      <c r="P468" s="19"/>
      <c r="Q468" s="19"/>
    </row>
    <row r="469" spans="15:17">
      <c r="O469" s="19"/>
      <c r="P469" s="19"/>
      <c r="Q469" s="19"/>
    </row>
    <row r="470" spans="15:17">
      <c r="O470" s="19"/>
      <c r="P470" s="19"/>
      <c r="Q470" s="19"/>
    </row>
    <row r="471" spans="15:17">
      <c r="O471" s="19"/>
      <c r="P471" s="19"/>
      <c r="Q471" s="19"/>
    </row>
    <row r="472" spans="15:17">
      <c r="O472" s="19"/>
      <c r="P472" s="19"/>
      <c r="Q472" s="19"/>
    </row>
    <row r="473" spans="15:17">
      <c r="O473" s="19"/>
      <c r="P473" s="19"/>
      <c r="Q473" s="19"/>
    </row>
    <row r="474" spans="15:17">
      <c r="O474" s="19"/>
      <c r="P474" s="19"/>
      <c r="Q474" s="19"/>
    </row>
    <row r="475" spans="15:17">
      <c r="O475" s="19"/>
      <c r="P475" s="19"/>
      <c r="Q475" s="19"/>
    </row>
    <row r="476" spans="15:17">
      <c r="O476" s="19"/>
      <c r="P476" s="19"/>
      <c r="Q476" s="19"/>
    </row>
    <row r="477" spans="15:17">
      <c r="O477" s="19"/>
      <c r="P477" s="19"/>
      <c r="Q477" s="19"/>
    </row>
    <row r="478" spans="15:17">
      <c r="O478" s="19"/>
      <c r="P478" s="19"/>
      <c r="Q478" s="19"/>
    </row>
    <row r="479" spans="15:17">
      <c r="O479" s="19"/>
      <c r="P479" s="19"/>
      <c r="Q479" s="19"/>
    </row>
    <row r="480" spans="15:17">
      <c r="O480" s="19"/>
      <c r="P480" s="19"/>
      <c r="Q480" s="19"/>
    </row>
    <row r="481" spans="15:17">
      <c r="O481" s="19"/>
      <c r="P481" s="19"/>
      <c r="Q481" s="19"/>
    </row>
    <row r="482" spans="15:17">
      <c r="O482" s="19"/>
      <c r="P482" s="19"/>
      <c r="Q482" s="19"/>
    </row>
    <row r="483" spans="15:17">
      <c r="O483" s="19"/>
      <c r="P483" s="19"/>
      <c r="Q483" s="19"/>
    </row>
    <row r="484" spans="15:17">
      <c r="O484" s="19"/>
      <c r="P484" s="19"/>
      <c r="Q484" s="19"/>
    </row>
    <row r="485" spans="15:17">
      <c r="O485" s="19"/>
      <c r="P485" s="19"/>
      <c r="Q485" s="19"/>
    </row>
    <row r="486" spans="15:17">
      <c r="O486" s="19"/>
      <c r="P486" s="19"/>
      <c r="Q486" s="19"/>
    </row>
    <row r="487" spans="15:17">
      <c r="O487" s="19"/>
      <c r="P487" s="19"/>
      <c r="Q487" s="19"/>
    </row>
    <row r="488" spans="15:17">
      <c r="O488" s="19"/>
      <c r="P488" s="19"/>
      <c r="Q488" s="19"/>
    </row>
    <row r="489" spans="15:17">
      <c r="O489" s="19"/>
      <c r="P489" s="19"/>
      <c r="Q489" s="19"/>
    </row>
    <row r="490" spans="15:17">
      <c r="O490" s="19"/>
      <c r="P490" s="19"/>
      <c r="Q490" s="19"/>
    </row>
    <row r="491" spans="15:17">
      <c r="O491" s="19"/>
      <c r="P491" s="19"/>
      <c r="Q491" s="19"/>
    </row>
    <row r="492" spans="15:17">
      <c r="O492" s="19"/>
      <c r="P492" s="19"/>
      <c r="Q492" s="19"/>
    </row>
    <row r="493" spans="15:17">
      <c r="O493" s="19"/>
      <c r="P493" s="19"/>
      <c r="Q493" s="19"/>
    </row>
    <row r="494" spans="15:17">
      <c r="O494" s="19"/>
      <c r="P494" s="19"/>
      <c r="Q494" s="19"/>
    </row>
    <row r="495" spans="15:17">
      <c r="O495" s="19"/>
      <c r="P495" s="19"/>
      <c r="Q495" s="19"/>
    </row>
    <row r="496" spans="15:17">
      <c r="O496" s="19"/>
      <c r="P496" s="19"/>
      <c r="Q496" s="19"/>
    </row>
    <row r="497" spans="15:17">
      <c r="O497" s="19"/>
      <c r="P497" s="19"/>
      <c r="Q497" s="19"/>
    </row>
    <row r="498" spans="15:17">
      <c r="O498" s="19"/>
      <c r="P498" s="19"/>
      <c r="Q498" s="19"/>
    </row>
    <row r="499" spans="15:17">
      <c r="O499" s="19"/>
      <c r="P499" s="19"/>
      <c r="Q499" s="19"/>
    </row>
    <row r="500" spans="15:17">
      <c r="O500" s="19"/>
      <c r="P500" s="19"/>
      <c r="Q500" s="19"/>
    </row>
    <row r="501" spans="15:17">
      <c r="O501" s="19"/>
      <c r="P501" s="19"/>
      <c r="Q501" s="19"/>
    </row>
    <row r="502" spans="15:17">
      <c r="O502" s="19"/>
      <c r="P502" s="19"/>
      <c r="Q502" s="19"/>
    </row>
    <row r="503" spans="15:17">
      <c r="O503" s="19"/>
      <c r="P503" s="19"/>
      <c r="Q503" s="19"/>
    </row>
    <row r="504" spans="15:17">
      <c r="O504" s="19"/>
      <c r="P504" s="19"/>
      <c r="Q504" s="19"/>
    </row>
    <row r="505" spans="15:17">
      <c r="O505" s="19"/>
      <c r="P505" s="19"/>
      <c r="Q505" s="19"/>
    </row>
    <row r="506" spans="15:17">
      <c r="O506" s="19"/>
      <c r="P506" s="19"/>
      <c r="Q506" s="19"/>
    </row>
    <row r="507" spans="15:17">
      <c r="O507" s="19"/>
      <c r="P507" s="19"/>
      <c r="Q507" s="19"/>
    </row>
    <row r="508" spans="15:17">
      <c r="O508" s="19"/>
      <c r="P508" s="19"/>
      <c r="Q508" s="19"/>
    </row>
    <row r="509" spans="15:17">
      <c r="O509" s="19"/>
      <c r="P509" s="19"/>
      <c r="Q509" s="19"/>
    </row>
    <row r="510" spans="15:17">
      <c r="O510" s="19"/>
      <c r="P510" s="19"/>
      <c r="Q510" s="19"/>
    </row>
    <row r="511" spans="15:17">
      <c r="O511" s="19"/>
      <c r="P511" s="19"/>
      <c r="Q511" s="19"/>
    </row>
    <row r="512" spans="15:17">
      <c r="O512" s="19"/>
      <c r="P512" s="19"/>
      <c r="Q512" s="19"/>
    </row>
    <row r="513" spans="15:17">
      <c r="O513" s="19"/>
      <c r="P513" s="19"/>
      <c r="Q513" s="19"/>
    </row>
    <row r="514" spans="15:17">
      <c r="O514" s="19"/>
      <c r="P514" s="19"/>
      <c r="Q514" s="19"/>
    </row>
    <row r="515" spans="15:17">
      <c r="O515" s="19"/>
      <c r="P515" s="19"/>
      <c r="Q515" s="19"/>
    </row>
    <row r="516" spans="15:17">
      <c r="O516" s="19"/>
      <c r="P516" s="19"/>
      <c r="Q516" s="19"/>
    </row>
    <row r="517" spans="15:17">
      <c r="O517" s="19"/>
      <c r="P517" s="19"/>
      <c r="Q517" s="19"/>
    </row>
    <row r="518" spans="15:17">
      <c r="O518" s="19"/>
      <c r="P518" s="19"/>
      <c r="Q518" s="19"/>
    </row>
    <row r="519" spans="15:17">
      <c r="O519" s="19"/>
      <c r="P519" s="19"/>
      <c r="Q519" s="19"/>
    </row>
    <row r="520" spans="15:17">
      <c r="O520" s="19"/>
      <c r="P520" s="19"/>
      <c r="Q520" s="19"/>
    </row>
    <row r="521" spans="15:17">
      <c r="O521" s="19"/>
      <c r="P521" s="19"/>
      <c r="Q521" s="19"/>
    </row>
    <row r="522" spans="15:17">
      <c r="O522" s="19"/>
      <c r="P522" s="19"/>
      <c r="Q522" s="19"/>
    </row>
    <row r="523" spans="15:17">
      <c r="O523" s="19"/>
      <c r="P523" s="19"/>
      <c r="Q523" s="19"/>
    </row>
    <row r="524" spans="15:17">
      <c r="O524" s="19"/>
      <c r="P524" s="19"/>
      <c r="Q524" s="19"/>
    </row>
    <row r="525" spans="15:17">
      <c r="O525" s="19"/>
      <c r="P525" s="19"/>
      <c r="Q525" s="19"/>
    </row>
    <row r="526" spans="15:17">
      <c r="O526" s="19"/>
      <c r="P526" s="19"/>
      <c r="Q526" s="19"/>
    </row>
    <row r="527" spans="15:17">
      <c r="O527" s="19"/>
      <c r="P527" s="19"/>
      <c r="Q527" s="19"/>
    </row>
    <row r="528" spans="15:17">
      <c r="O528" s="19"/>
      <c r="P528" s="19"/>
      <c r="Q528" s="19"/>
    </row>
    <row r="529" spans="15:17">
      <c r="O529" s="19"/>
      <c r="P529" s="19"/>
      <c r="Q529" s="19"/>
    </row>
    <row r="530" spans="15:17">
      <c r="O530" s="19"/>
      <c r="P530" s="19"/>
      <c r="Q530" s="19"/>
    </row>
    <row r="531" spans="15:17">
      <c r="O531" s="19"/>
      <c r="P531" s="19"/>
      <c r="Q531" s="19"/>
    </row>
    <row r="532" spans="15:17">
      <c r="O532" s="19"/>
      <c r="P532" s="19"/>
      <c r="Q532" s="19"/>
    </row>
    <row r="533" spans="15:17">
      <c r="O533" s="19"/>
      <c r="P533" s="19"/>
      <c r="Q533" s="19"/>
    </row>
    <row r="534" spans="15:17">
      <c r="O534" s="19"/>
      <c r="P534" s="19"/>
      <c r="Q534" s="19"/>
    </row>
    <row r="535" spans="15:17">
      <c r="O535" s="19"/>
      <c r="P535" s="19"/>
      <c r="Q535" s="19"/>
    </row>
    <row r="536" spans="15:17">
      <c r="O536" s="19"/>
      <c r="P536" s="19"/>
      <c r="Q536" s="19"/>
    </row>
    <row r="537" spans="15:17">
      <c r="O537" s="19"/>
      <c r="P537" s="19"/>
      <c r="Q537" s="19"/>
    </row>
    <row r="538" spans="15:17">
      <c r="O538" s="19"/>
      <c r="P538" s="19"/>
      <c r="Q538" s="19"/>
    </row>
    <row r="539" spans="15:17">
      <c r="O539" s="19"/>
      <c r="P539" s="19"/>
      <c r="Q539" s="19"/>
    </row>
    <row r="540" spans="15:17">
      <c r="O540" s="19"/>
      <c r="P540" s="19"/>
      <c r="Q540" s="19"/>
    </row>
    <row r="541" spans="15:17">
      <c r="O541" s="19"/>
      <c r="P541" s="19"/>
      <c r="Q541" s="19"/>
    </row>
    <row r="542" spans="15:17">
      <c r="O542" s="19"/>
      <c r="P542" s="19"/>
      <c r="Q542" s="19"/>
    </row>
    <row r="543" spans="15:17">
      <c r="O543" s="19"/>
      <c r="P543" s="19"/>
      <c r="Q543" s="19"/>
    </row>
    <row r="544" spans="15:17">
      <c r="O544" s="19"/>
      <c r="P544" s="19"/>
      <c r="Q544" s="19"/>
    </row>
    <row r="545" spans="15:17">
      <c r="O545" s="19"/>
      <c r="P545" s="19"/>
      <c r="Q545" s="19"/>
    </row>
    <row r="546" spans="15:17">
      <c r="O546" s="19"/>
      <c r="P546" s="19"/>
      <c r="Q546" s="19"/>
    </row>
    <row r="547" spans="15:17">
      <c r="O547" s="19"/>
      <c r="P547" s="19"/>
      <c r="Q547" s="19"/>
    </row>
    <row r="548" spans="15:17">
      <c r="O548" s="19"/>
      <c r="P548" s="19"/>
      <c r="Q548" s="19"/>
    </row>
    <row r="549" spans="15:17">
      <c r="O549" s="19"/>
      <c r="P549" s="19"/>
      <c r="Q549" s="19"/>
    </row>
    <row r="550" spans="15:17">
      <c r="O550" s="19"/>
      <c r="P550" s="19"/>
      <c r="Q550" s="19"/>
    </row>
    <row r="551" spans="15:17">
      <c r="O551" s="19"/>
      <c r="P551" s="19"/>
      <c r="Q551" s="19"/>
    </row>
    <row r="552" spans="15:17">
      <c r="O552" s="19"/>
      <c r="P552" s="19"/>
      <c r="Q552" s="19"/>
    </row>
    <row r="553" spans="15:17">
      <c r="O553" s="19"/>
      <c r="P553" s="19"/>
      <c r="Q553" s="19"/>
    </row>
    <row r="554" spans="15:17">
      <c r="O554" s="19"/>
      <c r="P554" s="19"/>
      <c r="Q554" s="19"/>
    </row>
    <row r="555" spans="15:17">
      <c r="O555" s="19"/>
      <c r="P555" s="19"/>
      <c r="Q555" s="19"/>
    </row>
    <row r="556" spans="15:17">
      <c r="O556" s="19"/>
      <c r="P556" s="19"/>
      <c r="Q556" s="19"/>
    </row>
    <row r="557" spans="15:17">
      <c r="O557" s="19"/>
      <c r="P557" s="19"/>
      <c r="Q557" s="19"/>
    </row>
    <row r="558" spans="15:17">
      <c r="O558" s="19"/>
      <c r="P558" s="19"/>
      <c r="Q558" s="19"/>
    </row>
    <row r="559" spans="15:17">
      <c r="O559" s="19"/>
      <c r="P559" s="19"/>
      <c r="Q559" s="19"/>
    </row>
    <row r="560" spans="15:17">
      <c r="O560" s="19"/>
      <c r="P560" s="19"/>
      <c r="Q560" s="19"/>
    </row>
    <row r="561" spans="15:17">
      <c r="O561" s="19"/>
      <c r="P561" s="19"/>
      <c r="Q561" s="19"/>
    </row>
    <row r="562" spans="15:17">
      <c r="O562" s="19"/>
      <c r="P562" s="19"/>
      <c r="Q562" s="19"/>
    </row>
    <row r="563" spans="15:17">
      <c r="O563" s="19"/>
      <c r="P563" s="19"/>
      <c r="Q563" s="19"/>
    </row>
    <row r="564" spans="15:17">
      <c r="O564" s="19"/>
      <c r="P564" s="19"/>
      <c r="Q564" s="19"/>
    </row>
    <row r="565" spans="15:17">
      <c r="O565" s="19"/>
      <c r="P565" s="19"/>
      <c r="Q565" s="19"/>
    </row>
    <row r="566" spans="15:17">
      <c r="O566" s="19"/>
      <c r="P566" s="19"/>
      <c r="Q566" s="19"/>
    </row>
    <row r="567" spans="15:17">
      <c r="O567" s="19"/>
      <c r="P567" s="19"/>
      <c r="Q567" s="19"/>
    </row>
    <row r="568" spans="15:17">
      <c r="O568" s="19"/>
      <c r="P568" s="19"/>
      <c r="Q568" s="19"/>
    </row>
    <row r="569" spans="15:17">
      <c r="O569" s="19"/>
      <c r="P569" s="19"/>
      <c r="Q569" s="19"/>
    </row>
    <row r="570" spans="15:17">
      <c r="O570" s="19"/>
      <c r="P570" s="19"/>
      <c r="Q570" s="19"/>
    </row>
    <row r="571" spans="15:17">
      <c r="O571" s="19"/>
      <c r="P571" s="19"/>
      <c r="Q571" s="19"/>
    </row>
    <row r="572" spans="15:17">
      <c r="O572" s="19"/>
      <c r="P572" s="19"/>
      <c r="Q572" s="19"/>
    </row>
    <row r="573" spans="15:17">
      <c r="O573" s="19"/>
      <c r="P573" s="19"/>
      <c r="Q573" s="19"/>
    </row>
    <row r="574" spans="15:17">
      <c r="O574" s="19"/>
      <c r="P574" s="19"/>
      <c r="Q574" s="19"/>
    </row>
    <row r="575" spans="15:17">
      <c r="O575" s="19"/>
      <c r="P575" s="19"/>
      <c r="Q575" s="19"/>
    </row>
    <row r="576" spans="15:17">
      <c r="O576" s="19"/>
      <c r="P576" s="19"/>
      <c r="Q576" s="19"/>
    </row>
    <row r="577" spans="15:17">
      <c r="O577" s="19"/>
      <c r="P577" s="19"/>
      <c r="Q577" s="19"/>
    </row>
    <row r="578" spans="15:17">
      <c r="O578" s="19"/>
      <c r="P578" s="19"/>
      <c r="Q578" s="19"/>
    </row>
    <row r="579" spans="15:17">
      <c r="O579" s="19"/>
      <c r="P579" s="19"/>
      <c r="Q579" s="19"/>
    </row>
    <row r="580" spans="15:17">
      <c r="O580" s="19"/>
      <c r="P580" s="19"/>
      <c r="Q580" s="19"/>
    </row>
    <row r="581" spans="15:17">
      <c r="O581" s="19"/>
      <c r="P581" s="19"/>
      <c r="Q581" s="19"/>
    </row>
    <row r="582" spans="15:17">
      <c r="O582" s="19"/>
      <c r="P582" s="19"/>
      <c r="Q582" s="19"/>
    </row>
    <row r="583" spans="15:17">
      <c r="O583" s="19"/>
      <c r="P583" s="19"/>
      <c r="Q583" s="19"/>
    </row>
    <row r="584" spans="15:17">
      <c r="O584" s="19"/>
      <c r="P584" s="19"/>
      <c r="Q584" s="19"/>
    </row>
    <row r="585" spans="15:17">
      <c r="O585" s="19"/>
      <c r="P585" s="19"/>
      <c r="Q585" s="19"/>
    </row>
    <row r="586" spans="15:17">
      <c r="O586" s="19"/>
      <c r="P586" s="19"/>
      <c r="Q586" s="19"/>
    </row>
    <row r="587" spans="15:17">
      <c r="O587" s="19"/>
      <c r="P587" s="19"/>
      <c r="Q587" s="19"/>
    </row>
    <row r="588" spans="15:17">
      <c r="O588" s="19"/>
      <c r="P588" s="19"/>
      <c r="Q588" s="19"/>
    </row>
    <row r="589" spans="15:17">
      <c r="O589" s="19"/>
      <c r="P589" s="19"/>
      <c r="Q589" s="19"/>
    </row>
    <row r="590" spans="15:17">
      <c r="O590" s="19"/>
      <c r="P590" s="19"/>
      <c r="Q590" s="19"/>
    </row>
    <row r="591" spans="15:17">
      <c r="O591" s="19"/>
      <c r="P591" s="19"/>
      <c r="Q591" s="19"/>
    </row>
    <row r="592" spans="15:17">
      <c r="O592" s="19"/>
      <c r="P592" s="19"/>
      <c r="Q592" s="19"/>
    </row>
    <row r="593" spans="15:17">
      <c r="O593" s="19"/>
      <c r="P593" s="19"/>
      <c r="Q593" s="19"/>
    </row>
    <row r="594" spans="15:17">
      <c r="O594" s="19"/>
      <c r="P594" s="19"/>
      <c r="Q594" s="19"/>
    </row>
    <row r="595" spans="15:17">
      <c r="O595" s="19"/>
      <c r="P595" s="19"/>
      <c r="Q595" s="19"/>
    </row>
    <row r="596" spans="15:17">
      <c r="O596" s="19"/>
      <c r="P596" s="19"/>
      <c r="Q596" s="19"/>
    </row>
    <row r="597" spans="15:17">
      <c r="O597" s="19"/>
      <c r="P597" s="19"/>
      <c r="Q597" s="19"/>
    </row>
    <row r="598" spans="15:17">
      <c r="O598" s="19"/>
      <c r="P598" s="19"/>
      <c r="Q598" s="19"/>
    </row>
    <row r="599" spans="15:17">
      <c r="O599" s="19"/>
      <c r="P599" s="19"/>
      <c r="Q599" s="19"/>
    </row>
    <row r="600" spans="15:17">
      <c r="O600" s="19"/>
      <c r="P600" s="19"/>
      <c r="Q600" s="19"/>
    </row>
    <row r="601" spans="15:17">
      <c r="O601" s="19"/>
      <c r="P601" s="19"/>
      <c r="Q601" s="19"/>
    </row>
    <row r="602" spans="15:17">
      <c r="O602" s="19"/>
      <c r="P602" s="19"/>
      <c r="Q602" s="19"/>
    </row>
    <row r="603" spans="15:17">
      <c r="O603" s="19"/>
      <c r="P603" s="19"/>
      <c r="Q603" s="19"/>
    </row>
    <row r="604" spans="15:17">
      <c r="O604" s="19"/>
      <c r="P604" s="19"/>
      <c r="Q604" s="19"/>
    </row>
    <row r="605" spans="15:17">
      <c r="O605" s="19"/>
      <c r="P605" s="19"/>
      <c r="Q605" s="19"/>
    </row>
    <row r="606" spans="15:17">
      <c r="O606" s="19"/>
      <c r="P606" s="19"/>
      <c r="Q606" s="19"/>
    </row>
    <row r="607" spans="15:17">
      <c r="O607" s="19"/>
      <c r="P607" s="19"/>
      <c r="Q607" s="19"/>
    </row>
    <row r="608" spans="15:17">
      <c r="O608" s="19"/>
      <c r="P608" s="19"/>
      <c r="Q608" s="19"/>
    </row>
    <row r="609" spans="15:17">
      <c r="O609" s="19"/>
      <c r="P609" s="19"/>
      <c r="Q609" s="19"/>
    </row>
    <row r="610" spans="15:17">
      <c r="O610" s="19"/>
      <c r="P610" s="19"/>
      <c r="Q610" s="19"/>
    </row>
    <row r="611" spans="15:17">
      <c r="O611" s="19"/>
      <c r="P611" s="19"/>
      <c r="Q611" s="19"/>
    </row>
    <row r="612" spans="15:17">
      <c r="O612" s="19"/>
      <c r="P612" s="19"/>
      <c r="Q612" s="19"/>
    </row>
    <row r="613" spans="15:17">
      <c r="O613" s="19"/>
      <c r="P613" s="19"/>
      <c r="Q613" s="19"/>
    </row>
    <row r="614" spans="15:17">
      <c r="O614" s="19"/>
      <c r="P614" s="19"/>
      <c r="Q614" s="19"/>
    </row>
    <row r="615" spans="15:17">
      <c r="O615" s="19"/>
      <c r="P615" s="19"/>
      <c r="Q615" s="19"/>
    </row>
    <row r="616" spans="15:17">
      <c r="O616" s="19"/>
      <c r="P616" s="19"/>
      <c r="Q616" s="19"/>
    </row>
    <row r="617" spans="15:17">
      <c r="O617" s="19"/>
      <c r="P617" s="19"/>
      <c r="Q617" s="19"/>
    </row>
    <row r="618" spans="15:17">
      <c r="O618" s="19"/>
      <c r="P618" s="19"/>
      <c r="Q618" s="19"/>
    </row>
    <row r="619" spans="15:17">
      <c r="O619" s="19"/>
      <c r="P619" s="19"/>
      <c r="Q619" s="19"/>
    </row>
    <row r="620" spans="15:17">
      <c r="O620" s="19"/>
      <c r="P620" s="19"/>
      <c r="Q620" s="19"/>
    </row>
    <row r="621" spans="15:17">
      <c r="O621" s="19"/>
      <c r="P621" s="19"/>
      <c r="Q621" s="19"/>
    </row>
    <row r="622" spans="15:17">
      <c r="O622" s="19"/>
      <c r="P622" s="19"/>
      <c r="Q622" s="19"/>
    </row>
    <row r="623" spans="15:17">
      <c r="O623" s="19"/>
      <c r="P623" s="19"/>
      <c r="Q623" s="19"/>
    </row>
    <row r="624" spans="15:17">
      <c r="O624" s="19"/>
      <c r="P624" s="19"/>
      <c r="Q624" s="19"/>
    </row>
    <row r="625" spans="15:17">
      <c r="O625" s="19"/>
      <c r="P625" s="19"/>
      <c r="Q625" s="19"/>
    </row>
    <row r="626" spans="15:17">
      <c r="O626" s="19"/>
      <c r="P626" s="19"/>
      <c r="Q626" s="19"/>
    </row>
    <row r="627" spans="15:17">
      <c r="O627" s="19"/>
      <c r="P627" s="19"/>
      <c r="Q627" s="19"/>
    </row>
    <row r="628" spans="15:17">
      <c r="O628" s="19"/>
      <c r="P628" s="19"/>
      <c r="Q628" s="19"/>
    </row>
    <row r="629" spans="15:17">
      <c r="O629" s="19"/>
      <c r="P629" s="19"/>
      <c r="Q629" s="19"/>
    </row>
    <row r="630" spans="15:17">
      <c r="O630" s="19"/>
      <c r="P630" s="19"/>
      <c r="Q630" s="19"/>
    </row>
    <row r="631" spans="15:17">
      <c r="O631" s="19"/>
      <c r="P631" s="19"/>
      <c r="Q631" s="19"/>
    </row>
    <row r="632" spans="15:17">
      <c r="O632" s="19"/>
      <c r="P632" s="19"/>
      <c r="Q632" s="19"/>
    </row>
    <row r="633" spans="15:17">
      <c r="O633" s="19"/>
      <c r="P633" s="19"/>
      <c r="Q633" s="19"/>
    </row>
    <row r="634" spans="15:17">
      <c r="O634" s="19"/>
      <c r="P634" s="19"/>
      <c r="Q634" s="19"/>
    </row>
    <row r="635" spans="15:17">
      <c r="O635" s="19"/>
      <c r="P635" s="19"/>
      <c r="Q635" s="19"/>
    </row>
    <row r="636" spans="15:17">
      <c r="O636" s="19"/>
      <c r="P636" s="19"/>
      <c r="Q636" s="19"/>
    </row>
    <row r="637" spans="15:17">
      <c r="O637" s="19"/>
      <c r="P637" s="19"/>
      <c r="Q637" s="19"/>
    </row>
    <row r="638" spans="15:17">
      <c r="O638" s="19"/>
      <c r="P638" s="19"/>
      <c r="Q638" s="19"/>
    </row>
    <row r="639" spans="15:17">
      <c r="O639" s="19"/>
      <c r="P639" s="19"/>
      <c r="Q639" s="19"/>
    </row>
    <row r="640" spans="15:17">
      <c r="O640" s="19"/>
      <c r="P640" s="19"/>
      <c r="Q640" s="19"/>
    </row>
    <row r="641" spans="15:17">
      <c r="O641" s="19"/>
      <c r="P641" s="19"/>
      <c r="Q641" s="19"/>
    </row>
    <row r="642" spans="15:17">
      <c r="O642" s="19"/>
      <c r="P642" s="19"/>
      <c r="Q642" s="19"/>
    </row>
    <row r="643" spans="15:17">
      <c r="O643" s="19"/>
      <c r="P643" s="19"/>
      <c r="Q643" s="19"/>
    </row>
    <row r="644" spans="15:17">
      <c r="O644" s="19"/>
      <c r="P644" s="19"/>
      <c r="Q644" s="19"/>
    </row>
    <row r="645" spans="15:17">
      <c r="O645" s="19"/>
      <c r="P645" s="19"/>
      <c r="Q645" s="19"/>
    </row>
    <row r="646" spans="15:17">
      <c r="O646" s="19"/>
      <c r="P646" s="19"/>
      <c r="Q646" s="19"/>
    </row>
    <row r="647" spans="15:17">
      <c r="O647" s="19"/>
      <c r="P647" s="19"/>
      <c r="Q647" s="19"/>
    </row>
    <row r="648" spans="15:17">
      <c r="O648" s="19"/>
      <c r="P648" s="19"/>
      <c r="Q648" s="19"/>
    </row>
    <row r="649" spans="15:17">
      <c r="O649" s="19"/>
      <c r="P649" s="19"/>
      <c r="Q649" s="19"/>
    </row>
    <row r="650" spans="15:17">
      <c r="O650" s="19"/>
      <c r="P650" s="19"/>
      <c r="Q650" s="19"/>
    </row>
    <row r="651" spans="15:17">
      <c r="O651" s="19"/>
      <c r="P651" s="19"/>
      <c r="Q651" s="19"/>
    </row>
    <row r="652" spans="15:17">
      <c r="O652" s="19"/>
      <c r="P652" s="19"/>
      <c r="Q652" s="19"/>
    </row>
    <row r="653" spans="15:17">
      <c r="O653" s="19"/>
      <c r="P653" s="19"/>
      <c r="Q653" s="19"/>
    </row>
    <row r="654" spans="15:17">
      <c r="O654" s="19"/>
      <c r="P654" s="19"/>
      <c r="Q654" s="19"/>
    </row>
    <row r="655" spans="15:17">
      <c r="O655" s="19"/>
      <c r="P655" s="19"/>
      <c r="Q655" s="19"/>
    </row>
    <row r="656" spans="15:17">
      <c r="O656" s="19"/>
      <c r="P656" s="19"/>
      <c r="Q656" s="19"/>
    </row>
    <row r="657" spans="15:17">
      <c r="O657" s="19"/>
      <c r="P657" s="19"/>
      <c r="Q657" s="19"/>
    </row>
    <row r="658" spans="15:17">
      <c r="O658" s="19"/>
      <c r="P658" s="19"/>
      <c r="Q658" s="19"/>
    </row>
    <row r="659" spans="15:17">
      <c r="O659" s="19"/>
      <c r="P659" s="19"/>
      <c r="Q659" s="19"/>
    </row>
    <row r="660" spans="15:17">
      <c r="O660" s="19"/>
      <c r="P660" s="19"/>
      <c r="Q660" s="19"/>
    </row>
    <row r="661" spans="15:17">
      <c r="O661" s="19"/>
      <c r="P661" s="19"/>
      <c r="Q661" s="19"/>
    </row>
    <row r="662" spans="15:17">
      <c r="O662" s="19"/>
      <c r="P662" s="19"/>
      <c r="Q662" s="19"/>
    </row>
    <row r="663" spans="15:17">
      <c r="O663" s="19"/>
      <c r="P663" s="19"/>
      <c r="Q663" s="19"/>
    </row>
    <row r="664" spans="15:17">
      <c r="O664" s="19"/>
      <c r="P664" s="19"/>
      <c r="Q664" s="19"/>
    </row>
    <row r="665" spans="15:17">
      <c r="O665" s="19"/>
      <c r="P665" s="19"/>
      <c r="Q665" s="19"/>
    </row>
    <row r="666" spans="15:17">
      <c r="O666" s="19"/>
      <c r="P666" s="19"/>
      <c r="Q666" s="19"/>
    </row>
    <row r="667" spans="15:17">
      <c r="O667" s="19"/>
      <c r="P667" s="19"/>
      <c r="Q667" s="19"/>
    </row>
    <row r="668" spans="15:17">
      <c r="O668" s="19"/>
      <c r="P668" s="19"/>
      <c r="Q668" s="19"/>
    </row>
    <row r="669" spans="15:17">
      <c r="O669" s="19"/>
      <c r="P669" s="19"/>
      <c r="Q669" s="19"/>
    </row>
    <row r="670" spans="15:17">
      <c r="O670" s="19"/>
      <c r="P670" s="19"/>
      <c r="Q670" s="19"/>
    </row>
    <row r="671" spans="15:17">
      <c r="O671" s="19"/>
      <c r="P671" s="19"/>
      <c r="Q671" s="19"/>
    </row>
    <row r="672" spans="15:17">
      <c r="O672" s="19"/>
      <c r="P672" s="19"/>
      <c r="Q672" s="19"/>
    </row>
    <row r="673" spans="15:17">
      <c r="O673" s="19"/>
      <c r="P673" s="19"/>
      <c r="Q673" s="19"/>
    </row>
    <row r="674" spans="15:17">
      <c r="O674" s="19"/>
      <c r="P674" s="19"/>
      <c r="Q674" s="19"/>
    </row>
    <row r="675" spans="15:17">
      <c r="O675" s="19"/>
      <c r="P675" s="19"/>
      <c r="Q675" s="19"/>
    </row>
    <row r="676" spans="15:17">
      <c r="O676" s="19"/>
      <c r="P676" s="19"/>
      <c r="Q676" s="19"/>
    </row>
    <row r="677" spans="15:17">
      <c r="O677" s="19"/>
      <c r="P677" s="19"/>
      <c r="Q677" s="19"/>
    </row>
    <row r="678" spans="15:17">
      <c r="O678" s="19"/>
      <c r="P678" s="19"/>
      <c r="Q678" s="19"/>
    </row>
    <row r="679" spans="15:17">
      <c r="O679" s="19"/>
      <c r="P679" s="19"/>
      <c r="Q679" s="19"/>
    </row>
    <row r="680" spans="15:17">
      <c r="O680" s="19"/>
      <c r="P680" s="19"/>
      <c r="Q680" s="19"/>
    </row>
    <row r="681" spans="15:17">
      <c r="O681" s="19"/>
      <c r="P681" s="19"/>
      <c r="Q681" s="19"/>
    </row>
    <row r="682" spans="15:17">
      <c r="O682" s="19"/>
      <c r="P682" s="19"/>
      <c r="Q682" s="19"/>
    </row>
    <row r="683" spans="15:17">
      <c r="O683" s="19"/>
      <c r="P683" s="19"/>
      <c r="Q683" s="19"/>
    </row>
    <row r="684" spans="15:17">
      <c r="O684" s="19"/>
      <c r="P684" s="19"/>
      <c r="Q684" s="19"/>
    </row>
    <row r="685" spans="15:17">
      <c r="O685" s="19"/>
      <c r="P685" s="19"/>
      <c r="Q685" s="19"/>
    </row>
    <row r="686" spans="15:17">
      <c r="O686" s="19"/>
      <c r="P686" s="19"/>
      <c r="Q686" s="19"/>
    </row>
    <row r="687" spans="15:17">
      <c r="O687" s="19"/>
      <c r="P687" s="19"/>
      <c r="Q687" s="19"/>
    </row>
    <row r="688" spans="15:17">
      <c r="O688" s="19"/>
      <c r="P688" s="19"/>
      <c r="Q688" s="19"/>
    </row>
    <row r="689" spans="15:17">
      <c r="O689" s="19"/>
      <c r="P689" s="19"/>
      <c r="Q689" s="19"/>
    </row>
    <row r="690" spans="15:17">
      <c r="O690" s="19"/>
      <c r="P690" s="19"/>
      <c r="Q690" s="19"/>
    </row>
    <row r="691" spans="15:17">
      <c r="O691" s="19"/>
      <c r="P691" s="19"/>
      <c r="Q691" s="19"/>
    </row>
    <row r="692" spans="15:17">
      <c r="O692" s="19"/>
      <c r="P692" s="19"/>
      <c r="Q692" s="19"/>
    </row>
    <row r="693" spans="15:17">
      <c r="O693" s="19"/>
      <c r="P693" s="19"/>
      <c r="Q693" s="19"/>
    </row>
    <row r="694" spans="15:17">
      <c r="O694" s="19"/>
      <c r="P694" s="19"/>
      <c r="Q694" s="19"/>
    </row>
    <row r="695" spans="15:17">
      <c r="O695" s="19"/>
      <c r="P695" s="19"/>
      <c r="Q695" s="19"/>
    </row>
    <row r="696" spans="15:17">
      <c r="O696" s="19"/>
      <c r="P696" s="19"/>
      <c r="Q696" s="19"/>
    </row>
    <row r="697" spans="15:17">
      <c r="O697" s="19"/>
      <c r="P697" s="19"/>
      <c r="Q697" s="19"/>
    </row>
    <row r="698" spans="15:17">
      <c r="O698" s="19"/>
      <c r="P698" s="19"/>
      <c r="Q698" s="19"/>
    </row>
    <row r="699" spans="15:17">
      <c r="O699" s="19"/>
      <c r="P699" s="19"/>
      <c r="Q699" s="19"/>
    </row>
    <row r="700" spans="15:17">
      <c r="O700" s="19"/>
      <c r="P700" s="19"/>
      <c r="Q700" s="19"/>
    </row>
    <row r="701" spans="15:17">
      <c r="O701" s="19"/>
      <c r="P701" s="19"/>
      <c r="Q701" s="19"/>
    </row>
    <row r="702" spans="15:17">
      <c r="O702" s="19"/>
      <c r="P702" s="19"/>
      <c r="Q702" s="19"/>
    </row>
    <row r="703" spans="15:17">
      <c r="O703" s="19"/>
      <c r="P703" s="19"/>
      <c r="Q703" s="19"/>
    </row>
    <row r="704" spans="15:17">
      <c r="O704" s="19"/>
      <c r="P704" s="19"/>
      <c r="Q704" s="19"/>
    </row>
    <row r="705" spans="15:17">
      <c r="O705" s="19"/>
      <c r="P705" s="19"/>
      <c r="Q705" s="19"/>
    </row>
    <row r="706" spans="15:17">
      <c r="O706" s="19"/>
      <c r="P706" s="19"/>
      <c r="Q706" s="19"/>
    </row>
    <row r="707" spans="15:17">
      <c r="O707" s="19"/>
      <c r="P707" s="19"/>
      <c r="Q707" s="19"/>
    </row>
    <row r="708" spans="15:17">
      <c r="O708" s="19"/>
      <c r="P708" s="19"/>
      <c r="Q708" s="19"/>
    </row>
    <row r="709" spans="15:17">
      <c r="O709" s="19"/>
      <c r="P709" s="19"/>
      <c r="Q709" s="19"/>
    </row>
    <row r="710" spans="15:17">
      <c r="O710" s="19"/>
      <c r="P710" s="19"/>
      <c r="Q710" s="19"/>
    </row>
    <row r="711" spans="15:17">
      <c r="O711" s="19"/>
      <c r="P711" s="19"/>
      <c r="Q711" s="19"/>
    </row>
    <row r="712" spans="15:17">
      <c r="O712" s="19"/>
      <c r="P712" s="19"/>
      <c r="Q712" s="19"/>
    </row>
    <row r="713" spans="15:17">
      <c r="O713" s="19"/>
      <c r="P713" s="19"/>
      <c r="Q713" s="19"/>
    </row>
    <row r="714" spans="15:17">
      <c r="O714" s="19"/>
      <c r="P714" s="19"/>
      <c r="Q714" s="19"/>
    </row>
    <row r="715" spans="15:17">
      <c r="O715" s="19"/>
      <c r="P715" s="19"/>
      <c r="Q715" s="19"/>
    </row>
    <row r="716" spans="15:17">
      <c r="O716" s="19"/>
      <c r="P716" s="19"/>
      <c r="Q716" s="19"/>
    </row>
    <row r="717" spans="15:17">
      <c r="O717" s="19"/>
      <c r="P717" s="19"/>
      <c r="Q717" s="19"/>
    </row>
    <row r="718" spans="15:17">
      <c r="O718" s="19"/>
      <c r="P718" s="19"/>
      <c r="Q718" s="19"/>
    </row>
    <row r="719" spans="15:17">
      <c r="O719" s="19"/>
      <c r="P719" s="19"/>
      <c r="Q719" s="19"/>
    </row>
    <row r="720" spans="15:17">
      <c r="O720" s="19"/>
      <c r="P720" s="19"/>
      <c r="Q720" s="19"/>
    </row>
    <row r="721" spans="15:17">
      <c r="O721" s="19"/>
      <c r="P721" s="19"/>
      <c r="Q721" s="19"/>
    </row>
    <row r="722" spans="15:17">
      <c r="O722" s="19"/>
      <c r="P722" s="19"/>
      <c r="Q722" s="19"/>
    </row>
    <row r="723" spans="15:17">
      <c r="O723" s="19"/>
      <c r="P723" s="19"/>
      <c r="Q723" s="19"/>
    </row>
    <row r="724" spans="15:17">
      <c r="O724" s="19"/>
      <c r="P724" s="19"/>
      <c r="Q724" s="19"/>
    </row>
    <row r="725" spans="15:17">
      <c r="O725" s="19"/>
      <c r="P725" s="19"/>
      <c r="Q725" s="19"/>
    </row>
    <row r="726" spans="15:17">
      <c r="O726" s="19"/>
      <c r="P726" s="19"/>
      <c r="Q726" s="19"/>
    </row>
    <row r="727" spans="15:17">
      <c r="O727" s="19"/>
      <c r="P727" s="19"/>
      <c r="Q727" s="19"/>
    </row>
    <row r="728" spans="15:17">
      <c r="O728" s="19"/>
      <c r="P728" s="19"/>
      <c r="Q728" s="19"/>
    </row>
    <row r="729" spans="15:17">
      <c r="O729" s="19"/>
      <c r="P729" s="19"/>
      <c r="Q729" s="19"/>
    </row>
    <row r="730" spans="15:17">
      <c r="O730" s="19"/>
      <c r="P730" s="19"/>
      <c r="Q730" s="19"/>
    </row>
    <row r="731" spans="15:17">
      <c r="O731" s="19"/>
      <c r="P731" s="19"/>
      <c r="Q731" s="19"/>
    </row>
    <row r="732" spans="15:17">
      <c r="O732" s="19"/>
      <c r="P732" s="19"/>
      <c r="Q732" s="19"/>
    </row>
    <row r="733" spans="15:17">
      <c r="O733" s="19"/>
      <c r="P733" s="19"/>
      <c r="Q733" s="19"/>
    </row>
    <row r="734" spans="15:17">
      <c r="O734" s="19"/>
      <c r="P734" s="19"/>
      <c r="Q734" s="19"/>
    </row>
    <row r="735" spans="15:17">
      <c r="O735" s="19"/>
      <c r="P735" s="19"/>
      <c r="Q735" s="19"/>
    </row>
    <row r="736" spans="15:17">
      <c r="O736" s="19"/>
      <c r="P736" s="19"/>
      <c r="Q736" s="19"/>
    </row>
    <row r="737" spans="15:17">
      <c r="O737" s="19"/>
      <c r="P737" s="19"/>
      <c r="Q737" s="19"/>
    </row>
    <row r="738" spans="15:17">
      <c r="O738" s="19"/>
      <c r="P738" s="19"/>
      <c r="Q738" s="19"/>
    </row>
    <row r="739" spans="15:17">
      <c r="O739" s="19"/>
      <c r="P739" s="19"/>
      <c r="Q739" s="19"/>
    </row>
    <row r="740" spans="15:17">
      <c r="O740" s="19"/>
      <c r="P740" s="19"/>
      <c r="Q740" s="19"/>
    </row>
    <row r="741" spans="15:17">
      <c r="O741" s="19"/>
      <c r="P741" s="19"/>
      <c r="Q741" s="19"/>
    </row>
    <row r="742" spans="15:17">
      <c r="O742" s="19"/>
      <c r="P742" s="19"/>
      <c r="Q742" s="19"/>
    </row>
    <row r="743" spans="15:17">
      <c r="O743" s="19"/>
      <c r="P743" s="19"/>
      <c r="Q743" s="19"/>
    </row>
    <row r="744" spans="15:17">
      <c r="O744" s="19"/>
      <c r="P744" s="19"/>
      <c r="Q744" s="19"/>
    </row>
    <row r="745" spans="15:17">
      <c r="O745" s="19"/>
      <c r="P745" s="19"/>
      <c r="Q745" s="19"/>
    </row>
    <row r="746" spans="15:17">
      <c r="O746" s="19"/>
      <c r="P746" s="19"/>
      <c r="Q746" s="19"/>
    </row>
    <row r="747" spans="15:17">
      <c r="O747" s="19"/>
      <c r="P747" s="19"/>
      <c r="Q747" s="19"/>
    </row>
    <row r="748" spans="15:17">
      <c r="O748" s="19"/>
      <c r="P748" s="19"/>
      <c r="Q748" s="19"/>
    </row>
    <row r="749" spans="15:17">
      <c r="O749" s="19"/>
      <c r="P749" s="19"/>
      <c r="Q749" s="19"/>
    </row>
    <row r="750" spans="15:17">
      <c r="O750" s="19"/>
      <c r="P750" s="19"/>
      <c r="Q750" s="19"/>
    </row>
    <row r="751" spans="15:17">
      <c r="O751" s="19"/>
      <c r="P751" s="19"/>
      <c r="Q751" s="19"/>
    </row>
    <row r="752" spans="15:17">
      <c r="O752" s="19"/>
      <c r="P752" s="19"/>
      <c r="Q752" s="19"/>
    </row>
    <row r="753" spans="15:17">
      <c r="O753" s="19"/>
      <c r="P753" s="19"/>
      <c r="Q753" s="19"/>
    </row>
    <row r="754" spans="15:17">
      <c r="O754" s="19"/>
      <c r="P754" s="19"/>
      <c r="Q754" s="19"/>
    </row>
    <row r="755" spans="15:17">
      <c r="O755" s="19"/>
      <c r="P755" s="19"/>
      <c r="Q755" s="19"/>
    </row>
    <row r="756" spans="15:17">
      <c r="O756" s="19"/>
      <c r="P756" s="19"/>
      <c r="Q756" s="19"/>
    </row>
    <row r="757" spans="15:17">
      <c r="O757" s="19"/>
      <c r="P757" s="19"/>
      <c r="Q757" s="19"/>
    </row>
    <row r="758" spans="15:17">
      <c r="O758" s="19"/>
      <c r="P758" s="19"/>
      <c r="Q758" s="19"/>
    </row>
    <row r="759" spans="15:17">
      <c r="O759" s="19"/>
      <c r="P759" s="19"/>
      <c r="Q759" s="19"/>
    </row>
    <row r="760" spans="15:17">
      <c r="O760" s="19"/>
      <c r="P760" s="19"/>
      <c r="Q760" s="19"/>
    </row>
    <row r="761" spans="15:17">
      <c r="O761" s="19"/>
      <c r="P761" s="19"/>
      <c r="Q761" s="19"/>
    </row>
    <row r="762" spans="15:17">
      <c r="O762" s="19"/>
      <c r="P762" s="19"/>
      <c r="Q762" s="19"/>
    </row>
    <row r="763" spans="15:17">
      <c r="O763" s="19"/>
      <c r="P763" s="19"/>
      <c r="Q763" s="19"/>
    </row>
    <row r="764" spans="15:17">
      <c r="O764" s="19"/>
      <c r="P764" s="19"/>
      <c r="Q764" s="19"/>
    </row>
    <row r="765" spans="15:17">
      <c r="O765" s="19"/>
      <c r="P765" s="19"/>
      <c r="Q765" s="19"/>
    </row>
    <row r="766" spans="15:17">
      <c r="O766" s="19"/>
      <c r="P766" s="19"/>
      <c r="Q766" s="19"/>
    </row>
    <row r="767" spans="15:17">
      <c r="O767" s="19"/>
      <c r="P767" s="19"/>
      <c r="Q767" s="19"/>
    </row>
    <row r="768" spans="15:17">
      <c r="O768" s="19"/>
      <c r="P768" s="19"/>
      <c r="Q768" s="19"/>
    </row>
    <row r="769" spans="15:17">
      <c r="O769" s="19"/>
      <c r="P769" s="19"/>
      <c r="Q769" s="19"/>
    </row>
    <row r="770" spans="15:17">
      <c r="O770" s="19"/>
      <c r="P770" s="19"/>
      <c r="Q770" s="19"/>
    </row>
    <row r="771" spans="15:17">
      <c r="O771" s="19"/>
      <c r="P771" s="19"/>
      <c r="Q771" s="19"/>
    </row>
    <row r="772" spans="15:17">
      <c r="O772" s="19"/>
      <c r="P772" s="19"/>
      <c r="Q772" s="19"/>
    </row>
    <row r="773" spans="15:17">
      <c r="O773" s="19"/>
      <c r="P773" s="19"/>
      <c r="Q773" s="19"/>
    </row>
    <row r="774" spans="15:17">
      <c r="O774" s="19"/>
      <c r="P774" s="19"/>
      <c r="Q774" s="19"/>
    </row>
    <row r="775" spans="15:17">
      <c r="O775" s="19"/>
      <c r="P775" s="19"/>
      <c r="Q775" s="19"/>
    </row>
    <row r="776" spans="15:17">
      <c r="O776" s="19"/>
      <c r="P776" s="19"/>
      <c r="Q776" s="19"/>
    </row>
    <row r="777" spans="15:17">
      <c r="O777" s="19"/>
      <c r="P777" s="19"/>
      <c r="Q777" s="19"/>
    </row>
    <row r="778" spans="15:17">
      <c r="O778" s="19"/>
      <c r="P778" s="19"/>
      <c r="Q778" s="19"/>
    </row>
    <row r="779" spans="15:17">
      <c r="O779" s="19"/>
      <c r="P779" s="19"/>
      <c r="Q779" s="19"/>
    </row>
    <row r="780" spans="15:17">
      <c r="O780" s="19"/>
      <c r="P780" s="19"/>
      <c r="Q780" s="19"/>
    </row>
    <row r="781" spans="15:17">
      <c r="O781" s="19"/>
      <c r="P781" s="19"/>
      <c r="Q781" s="19"/>
    </row>
    <row r="782" spans="15:17">
      <c r="O782" s="19"/>
      <c r="P782" s="19"/>
      <c r="Q782" s="19"/>
    </row>
    <row r="783" spans="15:17">
      <c r="O783" s="19"/>
      <c r="P783" s="19"/>
      <c r="Q783" s="19"/>
    </row>
    <row r="784" spans="15:17">
      <c r="O784" s="19"/>
      <c r="P784" s="19"/>
      <c r="Q784" s="19"/>
    </row>
    <row r="785" spans="15:17">
      <c r="O785" s="19"/>
      <c r="P785" s="19"/>
      <c r="Q785" s="19"/>
    </row>
    <row r="786" spans="15:17">
      <c r="O786" s="19"/>
      <c r="P786" s="19"/>
      <c r="Q786" s="19"/>
    </row>
    <row r="787" spans="15:17">
      <c r="O787" s="19"/>
      <c r="P787" s="19"/>
      <c r="Q787" s="19"/>
    </row>
    <row r="788" spans="15:17">
      <c r="O788" s="19"/>
      <c r="P788" s="19"/>
      <c r="Q788" s="19"/>
    </row>
    <row r="789" spans="15:17">
      <c r="O789" s="19"/>
      <c r="P789" s="19"/>
      <c r="Q789" s="19"/>
    </row>
    <row r="790" spans="15:17">
      <c r="O790" s="19"/>
      <c r="P790" s="19"/>
      <c r="Q790" s="19"/>
    </row>
    <row r="791" spans="15:17">
      <c r="O791" s="19"/>
      <c r="P791" s="19"/>
      <c r="Q791" s="19"/>
    </row>
    <row r="792" spans="15:17">
      <c r="O792" s="19"/>
      <c r="P792" s="19"/>
      <c r="Q792" s="19"/>
    </row>
    <row r="793" spans="15:17">
      <c r="O793" s="19"/>
      <c r="P793" s="19"/>
      <c r="Q793" s="19"/>
    </row>
    <row r="794" spans="15:17">
      <c r="O794" s="19"/>
      <c r="P794" s="19"/>
      <c r="Q794" s="19"/>
    </row>
    <row r="795" spans="15:17">
      <c r="O795" s="19"/>
      <c r="P795" s="19"/>
      <c r="Q795" s="19"/>
    </row>
    <row r="796" spans="15:17">
      <c r="O796" s="19"/>
      <c r="P796" s="19"/>
      <c r="Q796" s="19"/>
    </row>
    <row r="797" spans="15:17">
      <c r="O797" s="19"/>
      <c r="P797" s="19"/>
      <c r="Q797" s="19"/>
    </row>
    <row r="798" spans="15:17">
      <c r="O798" s="19"/>
      <c r="P798" s="19"/>
      <c r="Q798" s="19"/>
    </row>
    <row r="799" spans="15:17">
      <c r="O799" s="19"/>
      <c r="P799" s="19"/>
      <c r="Q799" s="19"/>
    </row>
    <row r="800" spans="15:17">
      <c r="O800" s="19"/>
      <c r="P800" s="19"/>
      <c r="Q800" s="19"/>
    </row>
    <row r="801" spans="15:17">
      <c r="O801" s="19"/>
      <c r="P801" s="19"/>
      <c r="Q801" s="19"/>
    </row>
    <row r="802" spans="15:17">
      <c r="O802" s="19"/>
      <c r="P802" s="19"/>
      <c r="Q802" s="19"/>
    </row>
    <row r="803" spans="15:17">
      <c r="O803" s="19"/>
      <c r="P803" s="19"/>
      <c r="Q803" s="19"/>
    </row>
    <row r="804" spans="15:17">
      <c r="O804" s="19"/>
      <c r="P804" s="19"/>
      <c r="Q804" s="19"/>
    </row>
    <row r="805" spans="15:17">
      <c r="O805" s="19"/>
      <c r="P805" s="19"/>
      <c r="Q805" s="19"/>
    </row>
    <row r="806" spans="15:17">
      <c r="O806" s="19"/>
      <c r="P806" s="19"/>
      <c r="Q806" s="19"/>
    </row>
    <row r="807" spans="15:17">
      <c r="O807" s="19"/>
      <c r="P807" s="19"/>
      <c r="Q807" s="19"/>
    </row>
    <row r="808" spans="15:17">
      <c r="O808" s="19"/>
      <c r="P808" s="19"/>
      <c r="Q808" s="19"/>
    </row>
    <row r="809" spans="15:17">
      <c r="O809" s="19"/>
      <c r="P809" s="19"/>
      <c r="Q809" s="19"/>
    </row>
    <row r="810" spans="15:17">
      <c r="O810" s="19"/>
      <c r="P810" s="19"/>
      <c r="Q810" s="19"/>
    </row>
    <row r="811" spans="15:17">
      <c r="O811" s="19"/>
      <c r="P811" s="19"/>
      <c r="Q811" s="19"/>
    </row>
    <row r="812" spans="15:17">
      <c r="O812" s="19"/>
      <c r="P812" s="19"/>
      <c r="Q812" s="19"/>
    </row>
    <row r="813" spans="15:17">
      <c r="O813" s="19"/>
      <c r="P813" s="19"/>
      <c r="Q813" s="19"/>
    </row>
    <row r="814" spans="15:17">
      <c r="O814" s="19"/>
      <c r="P814" s="19"/>
      <c r="Q814" s="19"/>
    </row>
    <row r="815" spans="15:17">
      <c r="O815" s="19"/>
      <c r="P815" s="19"/>
      <c r="Q815" s="19"/>
    </row>
    <row r="816" spans="15:17">
      <c r="O816" s="19"/>
      <c r="P816" s="19"/>
      <c r="Q816" s="19"/>
    </row>
    <row r="817" spans="15:17">
      <c r="O817" s="19"/>
      <c r="P817" s="19"/>
      <c r="Q817" s="19"/>
    </row>
    <row r="818" spans="15:17">
      <c r="O818" s="19"/>
      <c r="P818" s="19"/>
      <c r="Q818" s="19"/>
    </row>
    <row r="819" spans="15:17">
      <c r="O819" s="19"/>
      <c r="P819" s="19"/>
      <c r="Q819" s="19"/>
    </row>
    <row r="820" spans="15:17">
      <c r="O820" s="19"/>
      <c r="P820" s="19"/>
      <c r="Q820" s="19"/>
    </row>
    <row r="821" spans="15:17">
      <c r="O821" s="19"/>
      <c r="P821" s="19"/>
      <c r="Q821" s="19"/>
    </row>
    <row r="822" spans="15:17">
      <c r="O822" s="19"/>
      <c r="P822" s="19"/>
      <c r="Q822" s="19"/>
    </row>
    <row r="823" spans="15:17">
      <c r="O823" s="19"/>
      <c r="P823" s="19"/>
      <c r="Q823" s="19"/>
    </row>
    <row r="824" spans="15:17">
      <c r="O824" s="19"/>
      <c r="P824" s="19"/>
      <c r="Q824" s="19"/>
    </row>
    <row r="825" spans="15:17">
      <c r="O825" s="19"/>
      <c r="P825" s="19"/>
      <c r="Q825" s="19"/>
    </row>
    <row r="826" spans="15:17">
      <c r="O826" s="19"/>
      <c r="P826" s="19"/>
      <c r="Q826" s="19"/>
    </row>
    <row r="827" spans="15:17">
      <c r="O827" s="19"/>
      <c r="P827" s="19"/>
      <c r="Q827" s="19"/>
    </row>
    <row r="828" spans="15:17">
      <c r="O828" s="19"/>
      <c r="P828" s="19"/>
      <c r="Q828" s="19"/>
    </row>
    <row r="829" spans="15:17">
      <c r="O829" s="19"/>
      <c r="P829" s="19"/>
      <c r="Q829" s="19"/>
    </row>
    <row r="830" spans="15:17">
      <c r="O830" s="19"/>
      <c r="P830" s="19"/>
      <c r="Q830" s="19"/>
    </row>
    <row r="831" spans="15:17">
      <c r="O831" s="19"/>
      <c r="P831" s="19"/>
      <c r="Q831" s="19"/>
    </row>
    <row r="832" spans="15:17">
      <c r="O832" s="19"/>
      <c r="P832" s="19"/>
      <c r="Q832" s="19"/>
    </row>
    <row r="833" spans="15:17">
      <c r="O833" s="19"/>
      <c r="P833" s="19"/>
      <c r="Q833" s="19"/>
    </row>
    <row r="834" spans="15:17">
      <c r="O834" s="19"/>
      <c r="P834" s="19"/>
      <c r="Q834" s="19"/>
    </row>
    <row r="835" spans="15:17">
      <c r="O835" s="19"/>
      <c r="P835" s="19"/>
      <c r="Q835" s="19"/>
    </row>
    <row r="836" spans="15:17">
      <c r="O836" s="19"/>
      <c r="P836" s="19"/>
      <c r="Q836" s="19"/>
    </row>
    <row r="837" spans="15:17">
      <c r="O837" s="19"/>
      <c r="P837" s="19"/>
      <c r="Q837" s="19"/>
    </row>
    <row r="838" spans="15:17">
      <c r="O838" s="19"/>
      <c r="P838" s="19"/>
      <c r="Q838" s="19"/>
    </row>
    <row r="839" spans="15:17">
      <c r="O839" s="19"/>
      <c r="P839" s="19"/>
      <c r="Q839" s="19"/>
    </row>
    <row r="840" spans="15:17">
      <c r="O840" s="19"/>
      <c r="P840" s="19"/>
      <c r="Q840" s="19"/>
    </row>
    <row r="841" spans="15:17">
      <c r="O841" s="19"/>
      <c r="P841" s="19"/>
      <c r="Q841" s="19"/>
    </row>
    <row r="842" spans="15:17">
      <c r="O842" s="19"/>
      <c r="P842" s="19"/>
      <c r="Q842" s="19"/>
    </row>
    <row r="843" spans="15:17">
      <c r="O843" s="19"/>
      <c r="P843" s="19"/>
      <c r="Q843" s="19"/>
    </row>
    <row r="844" spans="15:17">
      <c r="O844" s="19"/>
      <c r="P844" s="19"/>
      <c r="Q844" s="19"/>
    </row>
    <row r="845" spans="15:17">
      <c r="O845" s="19"/>
      <c r="P845" s="19"/>
      <c r="Q845" s="19"/>
    </row>
    <row r="846" spans="15:17">
      <c r="O846" s="19"/>
      <c r="P846" s="19"/>
      <c r="Q846" s="19"/>
    </row>
    <row r="847" spans="15:17">
      <c r="O847" s="19"/>
      <c r="P847" s="19"/>
      <c r="Q847" s="19"/>
    </row>
    <row r="848" spans="15:17">
      <c r="O848" s="19"/>
      <c r="P848" s="19"/>
      <c r="Q848" s="19"/>
    </row>
    <row r="849" spans="15:17">
      <c r="O849" s="19"/>
      <c r="P849" s="19"/>
      <c r="Q849" s="19"/>
    </row>
    <row r="850" spans="15:17">
      <c r="O850" s="19"/>
      <c r="P850" s="19"/>
      <c r="Q850" s="19"/>
    </row>
    <row r="851" spans="15:17">
      <c r="O851" s="19"/>
      <c r="P851" s="19"/>
      <c r="Q851" s="19"/>
    </row>
    <row r="852" spans="15:17">
      <c r="O852" s="19"/>
      <c r="P852" s="19"/>
      <c r="Q852" s="19"/>
    </row>
    <row r="853" spans="15:17">
      <c r="O853" s="19"/>
      <c r="P853" s="19"/>
      <c r="Q853" s="19"/>
    </row>
    <row r="854" spans="15:17">
      <c r="O854" s="19"/>
      <c r="P854" s="19"/>
      <c r="Q854" s="19"/>
    </row>
    <row r="855" spans="15:17">
      <c r="O855" s="19"/>
      <c r="P855" s="19"/>
      <c r="Q855" s="19"/>
    </row>
    <row r="856" spans="15:17">
      <c r="O856" s="19"/>
      <c r="P856" s="19"/>
      <c r="Q856" s="19"/>
    </row>
    <row r="857" spans="15:17">
      <c r="O857" s="19"/>
      <c r="P857" s="19"/>
      <c r="Q857" s="19"/>
    </row>
    <row r="858" spans="15:17">
      <c r="O858" s="19"/>
      <c r="P858" s="19"/>
      <c r="Q858" s="19"/>
    </row>
    <row r="859" spans="15:17">
      <c r="O859" s="19"/>
      <c r="P859" s="19"/>
      <c r="Q859" s="19"/>
    </row>
    <row r="860" spans="15:17">
      <c r="O860" s="19"/>
      <c r="P860" s="19"/>
      <c r="Q860" s="19"/>
    </row>
    <row r="861" spans="15:17">
      <c r="O861" s="19"/>
      <c r="P861" s="19"/>
      <c r="Q861" s="19"/>
    </row>
    <row r="862" spans="15:17">
      <c r="O862" s="19"/>
      <c r="P862" s="19"/>
      <c r="Q862" s="19"/>
    </row>
    <row r="863" spans="15:17">
      <c r="O863" s="19"/>
      <c r="P863" s="19"/>
      <c r="Q863" s="19"/>
    </row>
    <row r="864" spans="15:17">
      <c r="O864" s="19"/>
      <c r="P864" s="19"/>
      <c r="Q864" s="19"/>
    </row>
    <row r="865" spans="15:17">
      <c r="O865" s="19"/>
      <c r="P865" s="19"/>
      <c r="Q865" s="19"/>
    </row>
    <row r="866" spans="15:17">
      <c r="O866" s="19"/>
      <c r="P866" s="19"/>
      <c r="Q866" s="19"/>
    </row>
    <row r="867" spans="15:17">
      <c r="O867" s="19"/>
      <c r="P867" s="19"/>
      <c r="Q867" s="19"/>
    </row>
    <row r="868" spans="15:17">
      <c r="O868" s="19"/>
      <c r="P868" s="19"/>
      <c r="Q868" s="19"/>
    </row>
    <row r="869" spans="15:17">
      <c r="O869" s="19"/>
      <c r="P869" s="19"/>
      <c r="Q869" s="19"/>
    </row>
    <row r="870" spans="15:17">
      <c r="O870" s="19"/>
      <c r="P870" s="19"/>
      <c r="Q870" s="19"/>
    </row>
    <row r="871" spans="15:17">
      <c r="O871" s="19"/>
      <c r="P871" s="19"/>
      <c r="Q871" s="19"/>
    </row>
    <row r="872" spans="15:17">
      <c r="O872" s="19"/>
      <c r="P872" s="19"/>
      <c r="Q872" s="19"/>
    </row>
    <row r="873" spans="15:17">
      <c r="O873" s="19"/>
      <c r="P873" s="19"/>
      <c r="Q873" s="19"/>
    </row>
    <row r="874" spans="15:17">
      <c r="O874" s="19"/>
      <c r="P874" s="19"/>
      <c r="Q874" s="19"/>
    </row>
    <row r="875" spans="15:17">
      <c r="O875" s="19"/>
      <c r="P875" s="19"/>
      <c r="Q875" s="19"/>
    </row>
    <row r="876" spans="15:17">
      <c r="O876" s="19"/>
      <c r="P876" s="19"/>
      <c r="Q876" s="19"/>
    </row>
    <row r="877" spans="15:17">
      <c r="O877" s="19"/>
      <c r="P877" s="19"/>
      <c r="Q877" s="19"/>
    </row>
    <row r="878" spans="15:17">
      <c r="O878" s="19"/>
      <c r="P878" s="19"/>
      <c r="Q878" s="19"/>
    </row>
    <row r="879" spans="15:17">
      <c r="O879" s="19"/>
      <c r="P879" s="19"/>
      <c r="Q879" s="19"/>
    </row>
    <row r="880" spans="15:17">
      <c r="O880" s="19"/>
      <c r="P880" s="19"/>
      <c r="Q880" s="19"/>
    </row>
    <row r="881" spans="15:17">
      <c r="O881" s="19"/>
      <c r="P881" s="19"/>
      <c r="Q881" s="19"/>
    </row>
    <row r="882" spans="15:17">
      <c r="O882" s="19"/>
      <c r="P882" s="19"/>
      <c r="Q882" s="19"/>
    </row>
    <row r="883" spans="15:17">
      <c r="O883" s="19"/>
      <c r="P883" s="19"/>
      <c r="Q883" s="19"/>
    </row>
    <row r="884" spans="15:17">
      <c r="O884" s="19"/>
      <c r="P884" s="19"/>
      <c r="Q884" s="19"/>
    </row>
    <row r="885" spans="15:17">
      <c r="O885" s="19"/>
      <c r="P885" s="19"/>
      <c r="Q885" s="19"/>
    </row>
    <row r="886" spans="15:17">
      <c r="O886" s="19"/>
      <c r="P886" s="19"/>
      <c r="Q886" s="19"/>
    </row>
    <row r="887" spans="15:17">
      <c r="O887" s="19"/>
      <c r="P887" s="19"/>
      <c r="Q887" s="19"/>
    </row>
    <row r="888" spans="15:17">
      <c r="O888" s="19"/>
      <c r="P888" s="19"/>
      <c r="Q888" s="19"/>
    </row>
    <row r="889" spans="15:17">
      <c r="O889" s="19"/>
      <c r="P889" s="19"/>
      <c r="Q889" s="19"/>
    </row>
    <row r="890" spans="15:17">
      <c r="O890" s="19"/>
      <c r="P890" s="19"/>
      <c r="Q890" s="19"/>
    </row>
    <row r="891" spans="15:17">
      <c r="O891" s="19"/>
      <c r="P891" s="19"/>
      <c r="Q891" s="19"/>
    </row>
    <row r="892" spans="15:17">
      <c r="O892" s="19"/>
      <c r="P892" s="19"/>
      <c r="Q892" s="19"/>
    </row>
    <row r="893" spans="15:17">
      <c r="O893" s="19"/>
      <c r="P893" s="19"/>
      <c r="Q893" s="19"/>
    </row>
    <row r="894" spans="15:17">
      <c r="O894" s="19"/>
      <c r="P894" s="19"/>
      <c r="Q894" s="19"/>
    </row>
    <row r="895" spans="15:17">
      <c r="O895" s="19"/>
      <c r="P895" s="19"/>
      <c r="Q895" s="19"/>
    </row>
    <row r="896" spans="15:17">
      <c r="O896" s="19"/>
      <c r="P896" s="19"/>
      <c r="Q896" s="19"/>
    </row>
    <row r="897" spans="15:17">
      <c r="O897" s="19"/>
      <c r="P897" s="19"/>
      <c r="Q897" s="19"/>
    </row>
    <row r="898" spans="15:17">
      <c r="O898" s="19"/>
      <c r="P898" s="19"/>
      <c r="Q898" s="19"/>
    </row>
    <row r="899" spans="15:17">
      <c r="O899" s="19"/>
      <c r="P899" s="19"/>
      <c r="Q899" s="19"/>
    </row>
    <row r="900" spans="15:17">
      <c r="O900" s="19"/>
      <c r="P900" s="19"/>
      <c r="Q900" s="19"/>
    </row>
    <row r="901" spans="15:17">
      <c r="O901" s="19"/>
      <c r="P901" s="19"/>
      <c r="Q901" s="19"/>
    </row>
    <row r="902" spans="15:17">
      <c r="O902" s="19"/>
      <c r="P902" s="19"/>
      <c r="Q902" s="19"/>
    </row>
    <row r="903" spans="15:17">
      <c r="O903" s="19"/>
      <c r="P903" s="19"/>
      <c r="Q903" s="19"/>
    </row>
    <row r="904" spans="15:17">
      <c r="O904" s="19"/>
      <c r="P904" s="19"/>
      <c r="Q904" s="19"/>
    </row>
    <row r="905" spans="15:17">
      <c r="O905" s="19"/>
      <c r="P905" s="19"/>
      <c r="Q905" s="19"/>
    </row>
    <row r="906" spans="15:17">
      <c r="O906" s="19"/>
      <c r="P906" s="19"/>
      <c r="Q906" s="19"/>
    </row>
    <row r="907" spans="15:17">
      <c r="O907" s="19"/>
      <c r="P907" s="19"/>
      <c r="Q907" s="19"/>
    </row>
    <row r="908" spans="15:17">
      <c r="O908" s="19"/>
      <c r="P908" s="19"/>
      <c r="Q908" s="19"/>
    </row>
    <row r="909" spans="15:17">
      <c r="O909" s="19"/>
      <c r="P909" s="19"/>
      <c r="Q909" s="19"/>
    </row>
    <row r="910" spans="15:17">
      <c r="O910" s="19"/>
      <c r="P910" s="19"/>
      <c r="Q910" s="19"/>
    </row>
    <row r="911" spans="15:17">
      <c r="O911" s="19"/>
      <c r="P911" s="19"/>
      <c r="Q911" s="19"/>
    </row>
    <row r="912" spans="15:17">
      <c r="O912" s="19"/>
      <c r="P912" s="19"/>
      <c r="Q912" s="19"/>
    </row>
    <row r="913" spans="15:17">
      <c r="O913" s="19"/>
      <c r="P913" s="19"/>
      <c r="Q913" s="19"/>
    </row>
    <row r="914" spans="15:17">
      <c r="O914" s="19"/>
      <c r="P914" s="19"/>
      <c r="Q914" s="19"/>
    </row>
    <row r="915" spans="15:17">
      <c r="O915" s="19"/>
      <c r="P915" s="19"/>
      <c r="Q915" s="19"/>
    </row>
    <row r="916" spans="15:17">
      <c r="O916" s="19"/>
      <c r="P916" s="19"/>
      <c r="Q916" s="19"/>
    </row>
    <row r="917" spans="15:17">
      <c r="O917" s="19"/>
      <c r="P917" s="19"/>
      <c r="Q917" s="19"/>
    </row>
    <row r="918" spans="15:17">
      <c r="O918" s="19"/>
      <c r="P918" s="19"/>
      <c r="Q918" s="19"/>
    </row>
    <row r="919" spans="15:17">
      <c r="O919" s="19"/>
      <c r="P919" s="19"/>
      <c r="Q919" s="19"/>
    </row>
    <row r="920" spans="15:17">
      <c r="O920" s="19"/>
      <c r="P920" s="19"/>
      <c r="Q920" s="19"/>
    </row>
    <row r="921" spans="15:17">
      <c r="O921" s="19"/>
      <c r="P921" s="19"/>
      <c r="Q921" s="19"/>
    </row>
    <row r="922" spans="15:17">
      <c r="O922" s="19"/>
      <c r="P922" s="19"/>
      <c r="Q922" s="19"/>
    </row>
    <row r="923" spans="15:17">
      <c r="O923" s="19"/>
      <c r="P923" s="19"/>
      <c r="Q923" s="19"/>
    </row>
    <row r="924" spans="15:17">
      <c r="O924" s="19"/>
      <c r="P924" s="19"/>
      <c r="Q924" s="19"/>
    </row>
    <row r="925" spans="15:17">
      <c r="O925" s="19"/>
      <c r="P925" s="19"/>
      <c r="Q925" s="19"/>
    </row>
    <row r="926" spans="15:17">
      <c r="O926" s="19"/>
      <c r="P926" s="19"/>
      <c r="Q926" s="19"/>
    </row>
    <row r="927" spans="15:17">
      <c r="O927" s="19"/>
      <c r="P927" s="19"/>
      <c r="Q927" s="19"/>
    </row>
    <row r="928" spans="15:17">
      <c r="O928" s="19"/>
      <c r="P928" s="19"/>
      <c r="Q928" s="19"/>
    </row>
    <row r="929" spans="15:17">
      <c r="O929" s="19"/>
      <c r="P929" s="19"/>
      <c r="Q929" s="19"/>
    </row>
    <row r="930" spans="15:17">
      <c r="O930" s="19"/>
      <c r="P930" s="19"/>
      <c r="Q930" s="19"/>
    </row>
    <row r="931" spans="15:17">
      <c r="O931" s="19"/>
      <c r="P931" s="19"/>
      <c r="Q931" s="19"/>
    </row>
    <row r="932" spans="15:17">
      <c r="O932" s="19"/>
      <c r="P932" s="19"/>
      <c r="Q932" s="19"/>
    </row>
    <row r="933" spans="15:17">
      <c r="O933" s="19"/>
      <c r="P933" s="19"/>
      <c r="Q933" s="19"/>
    </row>
    <row r="934" spans="15:17">
      <c r="O934" s="19"/>
      <c r="P934" s="19"/>
      <c r="Q934" s="19"/>
    </row>
    <row r="935" spans="15:17">
      <c r="O935" s="19"/>
      <c r="P935" s="19"/>
      <c r="Q935" s="19"/>
    </row>
    <row r="936" spans="15:17">
      <c r="O936" s="19"/>
      <c r="P936" s="19"/>
      <c r="Q936" s="19"/>
    </row>
    <row r="937" spans="15:17">
      <c r="O937" s="19"/>
      <c r="P937" s="19"/>
      <c r="Q937" s="19"/>
    </row>
    <row r="938" spans="15:17">
      <c r="O938" s="19"/>
      <c r="P938" s="19"/>
      <c r="Q938" s="19"/>
    </row>
    <row r="939" spans="15:17">
      <c r="O939" s="19"/>
      <c r="P939" s="19"/>
      <c r="Q939" s="19"/>
    </row>
    <row r="940" spans="15:17">
      <c r="O940" s="19"/>
      <c r="P940" s="19"/>
      <c r="Q940" s="19"/>
    </row>
    <row r="941" spans="15:17">
      <c r="O941" s="19"/>
      <c r="P941" s="19"/>
      <c r="Q941" s="19"/>
    </row>
    <row r="942" spans="15:17">
      <c r="O942" s="19"/>
      <c r="P942" s="19"/>
      <c r="Q942" s="19"/>
    </row>
    <row r="943" spans="15:17">
      <c r="O943" s="19"/>
      <c r="P943" s="19"/>
      <c r="Q943" s="19"/>
    </row>
    <row r="944" spans="15:17">
      <c r="O944" s="19"/>
      <c r="P944" s="19"/>
      <c r="Q944" s="19"/>
    </row>
    <row r="945" spans="15:17">
      <c r="O945" s="19"/>
      <c r="P945" s="19"/>
      <c r="Q945" s="19"/>
    </row>
    <row r="946" spans="15:17">
      <c r="O946" s="19"/>
      <c r="P946" s="19"/>
      <c r="Q946" s="19"/>
    </row>
    <row r="947" spans="15:17">
      <c r="O947" s="19"/>
      <c r="P947" s="19"/>
      <c r="Q947" s="19"/>
    </row>
    <row r="948" spans="15:17">
      <c r="O948" s="19"/>
      <c r="P948" s="19"/>
      <c r="Q948" s="19"/>
    </row>
    <row r="949" spans="15:17">
      <c r="O949" s="19"/>
      <c r="P949" s="19"/>
      <c r="Q949" s="19"/>
    </row>
    <row r="950" spans="15:17">
      <c r="O950" s="19"/>
      <c r="P950" s="19"/>
      <c r="Q950" s="19"/>
    </row>
    <row r="951" spans="15:17">
      <c r="O951" s="19"/>
      <c r="P951" s="19"/>
      <c r="Q951" s="19"/>
    </row>
    <row r="952" spans="15:17">
      <c r="O952" s="19"/>
      <c r="P952" s="19"/>
      <c r="Q952" s="19"/>
    </row>
    <row r="953" spans="15:17">
      <c r="O953" s="19"/>
      <c r="P953" s="19"/>
      <c r="Q953" s="19"/>
    </row>
    <row r="954" spans="15:17">
      <c r="O954" s="19"/>
      <c r="P954" s="19"/>
      <c r="Q954" s="19"/>
    </row>
    <row r="955" spans="15:17">
      <c r="O955" s="19"/>
      <c r="P955" s="19"/>
      <c r="Q955" s="19"/>
    </row>
    <row r="956" spans="15:17">
      <c r="O956" s="19"/>
      <c r="P956" s="19"/>
      <c r="Q956" s="19"/>
    </row>
    <row r="957" spans="15:17">
      <c r="O957" s="19"/>
      <c r="P957" s="19"/>
      <c r="Q957" s="19"/>
    </row>
    <row r="958" spans="15:17">
      <c r="O958" s="19"/>
      <c r="P958" s="19"/>
      <c r="Q958" s="19"/>
    </row>
    <row r="959" spans="15:17">
      <c r="O959" s="19"/>
      <c r="P959" s="19"/>
      <c r="Q959" s="19"/>
    </row>
    <row r="960" spans="15:17">
      <c r="O960" s="19"/>
      <c r="P960" s="19"/>
      <c r="Q960" s="19"/>
    </row>
    <row r="961" spans="15:17">
      <c r="O961" s="19"/>
      <c r="P961" s="19"/>
      <c r="Q961" s="19"/>
    </row>
    <row r="962" spans="15:17">
      <c r="O962" s="19"/>
      <c r="P962" s="19"/>
      <c r="Q962" s="19"/>
    </row>
    <row r="963" spans="15:17">
      <c r="O963" s="19"/>
      <c r="P963" s="19"/>
      <c r="Q963" s="19"/>
    </row>
    <row r="964" spans="15:17">
      <c r="O964" s="19"/>
      <c r="P964" s="19"/>
      <c r="Q964" s="19"/>
    </row>
    <row r="965" spans="15:17">
      <c r="O965" s="19"/>
      <c r="P965" s="19"/>
      <c r="Q965" s="19"/>
    </row>
    <row r="966" spans="15:17">
      <c r="O966" s="19"/>
      <c r="P966" s="19"/>
      <c r="Q966" s="19"/>
    </row>
    <row r="967" spans="15:17">
      <c r="O967" s="19"/>
      <c r="P967" s="19"/>
      <c r="Q967" s="19"/>
    </row>
    <row r="968" spans="15:17">
      <c r="O968" s="19"/>
      <c r="P968" s="19"/>
      <c r="Q968" s="19"/>
    </row>
    <row r="969" spans="15:17">
      <c r="O969" s="19"/>
      <c r="P969" s="19"/>
      <c r="Q969" s="19"/>
    </row>
    <row r="970" spans="15:17">
      <c r="O970" s="19"/>
      <c r="P970" s="19"/>
      <c r="Q970" s="19"/>
    </row>
    <row r="971" spans="15:17">
      <c r="O971" s="19"/>
      <c r="P971" s="19"/>
      <c r="Q971" s="19"/>
    </row>
    <row r="972" spans="15:17">
      <c r="O972" s="19"/>
      <c r="P972" s="19"/>
      <c r="Q972" s="19"/>
    </row>
    <row r="973" spans="15:17">
      <c r="O973" s="19"/>
      <c r="P973" s="19"/>
      <c r="Q973" s="19"/>
    </row>
    <row r="974" spans="15:17">
      <c r="O974" s="19"/>
      <c r="P974" s="19"/>
      <c r="Q974" s="19"/>
    </row>
    <row r="975" spans="15:17">
      <c r="O975" s="19"/>
      <c r="P975" s="19"/>
      <c r="Q975" s="19"/>
    </row>
    <row r="976" spans="15:17">
      <c r="O976" s="19"/>
      <c r="P976" s="19"/>
      <c r="Q976" s="19"/>
    </row>
    <row r="977" spans="15:17">
      <c r="O977" s="19"/>
      <c r="P977" s="19"/>
      <c r="Q977" s="19"/>
    </row>
    <row r="978" spans="15:17">
      <c r="O978" s="19"/>
      <c r="P978" s="19"/>
      <c r="Q978" s="19"/>
    </row>
    <row r="979" spans="15:17">
      <c r="O979" s="19"/>
      <c r="P979" s="19"/>
      <c r="Q979" s="19"/>
    </row>
    <row r="980" spans="15:17">
      <c r="O980" s="19"/>
      <c r="P980" s="19"/>
      <c r="Q980" s="19"/>
    </row>
    <row r="981" spans="15:17">
      <c r="O981" s="19"/>
      <c r="P981" s="19"/>
      <c r="Q981" s="19"/>
    </row>
    <row r="982" spans="15:17">
      <c r="O982" s="19"/>
      <c r="P982" s="19"/>
      <c r="Q982" s="19"/>
    </row>
    <row r="983" spans="15:17">
      <c r="O983" s="19"/>
      <c r="P983" s="19"/>
      <c r="Q983" s="19"/>
    </row>
    <row r="984" spans="15:17">
      <c r="O984" s="19"/>
      <c r="P984" s="19"/>
      <c r="Q984" s="19"/>
    </row>
    <row r="985" spans="15:17">
      <c r="O985" s="19"/>
      <c r="P985" s="19"/>
      <c r="Q985" s="19"/>
    </row>
    <row r="986" spans="15:17">
      <c r="O986" s="19"/>
      <c r="P986" s="19"/>
      <c r="Q986" s="19"/>
    </row>
    <row r="987" spans="15:17">
      <c r="O987" s="19"/>
      <c r="P987" s="19"/>
      <c r="Q987" s="19"/>
    </row>
    <row r="988" spans="15:17">
      <c r="O988" s="19"/>
      <c r="P988" s="19"/>
      <c r="Q988" s="19"/>
    </row>
    <row r="989" spans="15:17">
      <c r="O989" s="19"/>
      <c r="P989" s="19"/>
      <c r="Q989" s="19"/>
    </row>
    <row r="990" spans="15:17">
      <c r="O990" s="19"/>
      <c r="P990" s="19"/>
      <c r="Q990" s="19"/>
    </row>
    <row r="991" spans="15:17">
      <c r="O991" s="19"/>
      <c r="P991" s="19"/>
      <c r="Q991" s="19"/>
    </row>
    <row r="992" spans="15:17">
      <c r="O992" s="19"/>
      <c r="P992" s="19"/>
      <c r="Q992" s="19"/>
    </row>
    <row r="993" spans="15:17">
      <c r="O993" s="19"/>
      <c r="P993" s="19"/>
      <c r="Q993" s="19"/>
    </row>
    <row r="994" spans="15:17">
      <c r="O994" s="19"/>
      <c r="P994" s="19"/>
      <c r="Q994" s="19"/>
    </row>
    <row r="995" spans="15:17">
      <c r="O995" s="19"/>
      <c r="P995" s="19"/>
      <c r="Q995" s="19"/>
    </row>
    <row r="996" spans="15:17">
      <c r="O996" s="19"/>
      <c r="P996" s="19"/>
      <c r="Q996" s="19"/>
    </row>
    <row r="997" spans="15:17">
      <c r="O997" s="19"/>
      <c r="P997" s="19"/>
      <c r="Q997" s="19"/>
    </row>
    <row r="998" spans="15:17">
      <c r="O998" s="19"/>
      <c r="P998" s="19"/>
      <c r="Q998" s="19"/>
    </row>
    <row r="999" spans="15:17">
      <c r="O999" s="19"/>
      <c r="P999" s="19"/>
      <c r="Q999" s="19"/>
    </row>
    <row r="1000" spans="15:17">
      <c r="O1000" s="19"/>
      <c r="P1000" s="19"/>
      <c r="Q1000" s="19"/>
    </row>
    <row r="1001" spans="15:17">
      <c r="O1001" s="19"/>
      <c r="P1001" s="19"/>
      <c r="Q1001" s="19"/>
    </row>
    <row r="1002" spans="15:17">
      <c r="O1002" s="19"/>
      <c r="P1002" s="19"/>
      <c r="Q1002" s="19"/>
    </row>
    <row r="1003" spans="15:17">
      <c r="O1003" s="19"/>
      <c r="P1003" s="19"/>
      <c r="Q1003" s="19"/>
    </row>
    <row r="1004" spans="15:17">
      <c r="O1004" s="19"/>
      <c r="P1004" s="19"/>
      <c r="Q1004" s="19"/>
    </row>
    <row r="1005" spans="15:17">
      <c r="O1005" s="19"/>
      <c r="P1005" s="19"/>
      <c r="Q1005" s="19"/>
    </row>
    <row r="1006" spans="15:17">
      <c r="O1006" s="19"/>
      <c r="P1006" s="19"/>
      <c r="Q1006" s="19"/>
    </row>
    <row r="1007" spans="15:17">
      <c r="O1007" s="19"/>
      <c r="P1007" s="19"/>
      <c r="Q1007" s="19"/>
    </row>
    <row r="1008" spans="15:17">
      <c r="O1008" s="19"/>
      <c r="P1008" s="19"/>
      <c r="Q1008" s="19"/>
    </row>
    <row r="1009" spans="15:17">
      <c r="O1009" s="19"/>
      <c r="P1009" s="19"/>
      <c r="Q1009" s="19"/>
    </row>
    <row r="1010" spans="15:17">
      <c r="O1010" s="19"/>
      <c r="P1010" s="19"/>
      <c r="Q1010" s="19"/>
    </row>
    <row r="1011" spans="15:17">
      <c r="O1011" s="19"/>
      <c r="P1011" s="19"/>
      <c r="Q1011" s="19"/>
    </row>
    <row r="1012" spans="15:17">
      <c r="O1012" s="19"/>
      <c r="P1012" s="19"/>
      <c r="Q1012" s="19"/>
    </row>
    <row r="1013" spans="15:17">
      <c r="O1013" s="19"/>
      <c r="P1013" s="19"/>
      <c r="Q1013" s="19"/>
    </row>
    <row r="1014" spans="15:17">
      <c r="O1014" s="19"/>
      <c r="P1014" s="19"/>
      <c r="Q1014" s="19"/>
    </row>
    <row r="1015" spans="15:17">
      <c r="O1015" s="19"/>
      <c r="P1015" s="19"/>
      <c r="Q1015" s="19"/>
    </row>
    <row r="1016" spans="15:17">
      <c r="O1016" s="19"/>
      <c r="P1016" s="19"/>
      <c r="Q1016" s="19"/>
    </row>
    <row r="1017" spans="15:17">
      <c r="O1017" s="19"/>
      <c r="P1017" s="19"/>
      <c r="Q1017" s="19"/>
    </row>
    <row r="1018" spans="15:17">
      <c r="O1018" s="19"/>
      <c r="P1018" s="19"/>
      <c r="Q1018" s="19"/>
    </row>
    <row r="1019" spans="15:17">
      <c r="O1019" s="19"/>
      <c r="P1019" s="19"/>
      <c r="Q1019" s="19"/>
    </row>
    <row r="1020" spans="15:17">
      <c r="O1020" s="19"/>
      <c r="P1020" s="19"/>
      <c r="Q1020" s="19"/>
    </row>
    <row r="1021" spans="15:17">
      <c r="O1021" s="19"/>
      <c r="P1021" s="19"/>
      <c r="Q1021" s="19"/>
    </row>
    <row r="1022" spans="15:17">
      <c r="O1022" s="19"/>
      <c r="P1022" s="19"/>
      <c r="Q1022" s="19"/>
    </row>
    <row r="1023" spans="15:17">
      <c r="O1023" s="19"/>
      <c r="P1023" s="19"/>
      <c r="Q1023" s="19"/>
    </row>
    <row r="1024" spans="15:17">
      <c r="O1024" s="19"/>
      <c r="P1024" s="19"/>
      <c r="Q1024" s="19"/>
    </row>
    <row r="1025" spans="15:17">
      <c r="O1025" s="19"/>
      <c r="P1025" s="19"/>
      <c r="Q1025" s="19"/>
    </row>
    <row r="1026" spans="15:17">
      <c r="O1026" s="19"/>
      <c r="P1026" s="19"/>
      <c r="Q1026" s="19"/>
    </row>
    <row r="1027" spans="15:17">
      <c r="O1027" s="19"/>
      <c r="P1027" s="19"/>
      <c r="Q1027" s="19"/>
    </row>
    <row r="1028" spans="15:17">
      <c r="O1028" s="19"/>
      <c r="P1028" s="19"/>
      <c r="Q1028" s="19"/>
    </row>
    <row r="1029" spans="15:17">
      <c r="O1029" s="19"/>
      <c r="P1029" s="19"/>
      <c r="Q1029" s="19"/>
    </row>
    <row r="1030" spans="15:17">
      <c r="O1030" s="19"/>
      <c r="P1030" s="19"/>
      <c r="Q1030" s="19"/>
    </row>
    <row r="1031" spans="15:17">
      <c r="O1031" s="19"/>
      <c r="P1031" s="19"/>
      <c r="Q1031" s="19"/>
    </row>
    <row r="1032" spans="15:17">
      <c r="O1032" s="19"/>
      <c r="P1032" s="19"/>
      <c r="Q1032" s="19"/>
    </row>
    <row r="1033" spans="15:17">
      <c r="O1033" s="19"/>
      <c r="P1033" s="19"/>
      <c r="Q1033" s="19"/>
    </row>
    <row r="1034" spans="15:17">
      <c r="O1034" s="19"/>
      <c r="P1034" s="19"/>
      <c r="Q1034" s="19"/>
    </row>
    <row r="1035" spans="15:17">
      <c r="O1035" s="19"/>
      <c r="P1035" s="19"/>
      <c r="Q1035" s="19"/>
    </row>
    <row r="1036" spans="15:17">
      <c r="O1036" s="19"/>
      <c r="P1036" s="19"/>
      <c r="Q1036" s="19"/>
    </row>
    <row r="1037" spans="15:17">
      <c r="O1037" s="19"/>
      <c r="P1037" s="19"/>
      <c r="Q1037" s="19"/>
    </row>
    <row r="1038" spans="15:17">
      <c r="O1038" s="19"/>
      <c r="P1038" s="19"/>
      <c r="Q1038" s="19"/>
    </row>
    <row r="1039" spans="15:17">
      <c r="O1039" s="19"/>
      <c r="P1039" s="19"/>
      <c r="Q1039" s="19"/>
    </row>
    <row r="1040" spans="15:17">
      <c r="O1040" s="19"/>
      <c r="P1040" s="19"/>
      <c r="Q1040" s="19"/>
    </row>
    <row r="1041" spans="15:17">
      <c r="O1041" s="19"/>
      <c r="P1041" s="19"/>
      <c r="Q1041" s="19"/>
    </row>
    <row r="1042" spans="15:17">
      <c r="O1042" s="19"/>
      <c r="P1042" s="19"/>
      <c r="Q1042" s="19"/>
    </row>
    <row r="1043" spans="15:17">
      <c r="O1043" s="19"/>
      <c r="P1043" s="19"/>
      <c r="Q1043" s="19"/>
    </row>
    <row r="1044" spans="15:17">
      <c r="O1044" s="19"/>
      <c r="P1044" s="19"/>
      <c r="Q1044" s="19"/>
    </row>
    <row r="1045" spans="15:17">
      <c r="O1045" s="19"/>
      <c r="P1045" s="19"/>
      <c r="Q1045" s="19"/>
    </row>
    <row r="1046" spans="15:17">
      <c r="O1046" s="19"/>
      <c r="P1046" s="19"/>
      <c r="Q1046" s="19"/>
    </row>
    <row r="1047" spans="15:17">
      <c r="O1047" s="19"/>
      <c r="P1047" s="19"/>
      <c r="Q1047" s="19"/>
    </row>
    <row r="1048" spans="15:17">
      <c r="O1048" s="19"/>
      <c r="P1048" s="19"/>
      <c r="Q1048" s="19"/>
    </row>
    <row r="1049" spans="15:17">
      <c r="O1049" s="19"/>
      <c r="P1049" s="19"/>
      <c r="Q1049" s="19"/>
    </row>
    <row r="1050" spans="15:17">
      <c r="O1050" s="19"/>
      <c r="P1050" s="19"/>
      <c r="Q1050" s="19"/>
    </row>
    <row r="1051" spans="15:17">
      <c r="O1051" s="19"/>
      <c r="P1051" s="19"/>
      <c r="Q1051" s="19"/>
    </row>
    <row r="1052" spans="15:17">
      <c r="O1052" s="19"/>
      <c r="P1052" s="19"/>
      <c r="Q1052" s="19"/>
    </row>
    <row r="1053" spans="15:17">
      <c r="O1053" s="19"/>
      <c r="P1053" s="19"/>
      <c r="Q1053" s="19"/>
    </row>
    <row r="1054" spans="15:17">
      <c r="O1054" s="19"/>
      <c r="P1054" s="19"/>
      <c r="Q1054" s="19"/>
    </row>
    <row r="1055" spans="15:17">
      <c r="O1055" s="19"/>
      <c r="P1055" s="19"/>
      <c r="Q1055" s="19"/>
    </row>
    <row r="1056" spans="15:17">
      <c r="O1056" s="19"/>
      <c r="P1056" s="19"/>
      <c r="Q1056" s="19"/>
    </row>
    <row r="1057" spans="8:17">
      <c r="O1057" s="19"/>
      <c r="P1057" s="19"/>
      <c r="Q1057" s="19"/>
    </row>
    <row r="1058" spans="8:17">
      <c r="H1058" s="45"/>
      <c r="J1058" s="45"/>
      <c r="O1058" s="19"/>
      <c r="P1058" s="19"/>
      <c r="Q1058" s="1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J38"/>
  <sheetViews>
    <sheetView workbookViewId="0"/>
  </sheetViews>
  <sheetFormatPr defaultColWidth="12.6640625" defaultRowHeight="15.75" customHeight="1"/>
  <sheetData>
    <row r="2" spans="1:10">
      <c r="A2" s="1" t="s">
        <v>147</v>
      </c>
    </row>
    <row r="3" spans="1:10">
      <c r="B3" s="1" t="s">
        <v>148</v>
      </c>
      <c r="C3" s="1" t="s">
        <v>44</v>
      </c>
      <c r="D3" s="1" t="s">
        <v>149</v>
      </c>
      <c r="E3" s="1" t="s">
        <v>44</v>
      </c>
      <c r="F3" s="1" t="s">
        <v>150</v>
      </c>
      <c r="G3" s="1" t="s">
        <v>44</v>
      </c>
      <c r="I3" s="1" t="s">
        <v>151</v>
      </c>
      <c r="J3" s="1" t="s">
        <v>44</v>
      </c>
    </row>
    <row r="4" spans="1:10">
      <c r="B4" s="17">
        <v>6649</v>
      </c>
      <c r="C4" s="17">
        <f>ROUND( SQRT(B4),0)</f>
        <v>82</v>
      </c>
      <c r="D4" s="17">
        <v>6328</v>
      </c>
      <c r="E4" s="17">
        <f>ROUND( SQRT(D4),0)</f>
        <v>80</v>
      </c>
      <c r="F4" s="17">
        <v>1828</v>
      </c>
      <c r="G4" s="17">
        <f>ROUND( SQRT(F4),0)</f>
        <v>43</v>
      </c>
      <c r="H4" s="17"/>
      <c r="I4" s="17">
        <v>20</v>
      </c>
      <c r="J4" s="1">
        <v>0.1</v>
      </c>
    </row>
    <row r="6" spans="1:10">
      <c r="B6" s="1" t="s">
        <v>152</v>
      </c>
      <c r="C6" s="1" t="s">
        <v>44</v>
      </c>
      <c r="D6" s="1" t="s">
        <v>153</v>
      </c>
      <c r="E6" s="1" t="s">
        <v>44</v>
      </c>
      <c r="F6" s="1" t="s">
        <v>154</v>
      </c>
      <c r="G6" s="1" t="s">
        <v>44</v>
      </c>
    </row>
    <row r="7" spans="1:10">
      <c r="B7" s="1">
        <f>(B4/$I4)</f>
        <v>332.45</v>
      </c>
      <c r="C7" s="1">
        <f>(ABS(B4/I4^2)*J4+ABS(1/I4)*C4)</f>
        <v>5.7622500000000008</v>
      </c>
      <c r="D7" s="1">
        <f>(D4/$I4)</f>
        <v>316.39999999999998</v>
      </c>
      <c r="E7" s="29">
        <f>(ABS(D4/I4^2)*J4+ABS(1/I4)*E4)</f>
        <v>5.5819999999999999</v>
      </c>
      <c r="F7" s="1">
        <f>(F4/$I4)</f>
        <v>91.4</v>
      </c>
      <c r="G7" s="1">
        <f>(ABS(F4/I4^2)*J4+ABS(1/I4)*G4)</f>
        <v>2.6070000000000002</v>
      </c>
    </row>
    <row r="11" spans="1:10">
      <c r="A11" s="1" t="s">
        <v>155</v>
      </c>
    </row>
    <row r="13" spans="1:10">
      <c r="A13" s="1" t="s">
        <v>156</v>
      </c>
      <c r="B13" s="1" t="s">
        <v>157</v>
      </c>
      <c r="C13" s="1" t="s">
        <v>44</v>
      </c>
      <c r="D13" s="1" t="s">
        <v>158</v>
      </c>
      <c r="E13" s="1" t="s">
        <v>44</v>
      </c>
      <c r="G13" s="1" t="s">
        <v>159</v>
      </c>
      <c r="H13" s="1" t="s">
        <v>44</v>
      </c>
    </row>
    <row r="14" spans="1:10">
      <c r="B14" s="1">
        <v>32493</v>
      </c>
      <c r="C14" s="1">
        <v>475</v>
      </c>
      <c r="D14" s="1">
        <v>43334</v>
      </c>
      <c r="E14" s="1">
        <v>208</v>
      </c>
      <c r="G14" s="1">
        <f>(B14/D14)</f>
        <v>0.74982692573960397</v>
      </c>
      <c r="H14" s="1">
        <f>(ABS(1/D14)*C14+ABS(B14/D14^2)*E14)</f>
        <v>1.4560483697647059E-2</v>
      </c>
    </row>
    <row r="16" spans="1:10">
      <c r="A16" s="1" t="s">
        <v>160</v>
      </c>
      <c r="B16" s="1" t="s">
        <v>157</v>
      </c>
      <c r="C16" s="1" t="s">
        <v>44</v>
      </c>
      <c r="D16" s="1" t="s">
        <v>158</v>
      </c>
      <c r="E16" s="1" t="s">
        <v>44</v>
      </c>
      <c r="G16" s="1" t="s">
        <v>159</v>
      </c>
      <c r="H16" s="1" t="s">
        <v>44</v>
      </c>
    </row>
    <row r="17" spans="1:10">
      <c r="B17" s="1">
        <v>30893</v>
      </c>
      <c r="C17" s="1">
        <v>384</v>
      </c>
      <c r="D17" s="1">
        <v>38925</v>
      </c>
      <c r="E17" s="1">
        <v>197</v>
      </c>
      <c r="G17" s="1">
        <f>(B17/D17)</f>
        <v>0.79365446371226722</v>
      </c>
      <c r="H17" s="29">
        <f>(ABS(1/D17)*C17+ABS(B17/D17^2)*E17)</f>
        <v>1.3881822205557268E-2</v>
      </c>
    </row>
    <row r="22" spans="1:10">
      <c r="B22" s="1" t="s">
        <v>161</v>
      </c>
      <c r="C22" s="1" t="s">
        <v>44</v>
      </c>
    </row>
    <row r="23" spans="1:10">
      <c r="A23" s="1" t="s">
        <v>156</v>
      </c>
      <c r="B23" s="1">
        <f>(F7/(D7*G17))</f>
        <v>0.36398061773759049</v>
      </c>
      <c r="C23" s="1">
        <f>(ABS(1/(D7*G17))*G7+ABS((F7*G17)/(D7^2*G17^2))*E7+ABS((F7*D7)/(D7^2*G17^2))*H17)</f>
        <v>2.3169628843365951E-2</v>
      </c>
      <c r="H23" s="1" t="s">
        <v>162</v>
      </c>
      <c r="I23" s="76">
        <f>C23/B23*100</f>
        <v>6.3656216057279034</v>
      </c>
      <c r="J23" s="1" t="s">
        <v>87</v>
      </c>
    </row>
    <row r="25" spans="1:10">
      <c r="A25" s="1" t="s">
        <v>160</v>
      </c>
      <c r="B25" s="1">
        <f>(F7/(B7*G14))</f>
        <v>0.36665602587508739</v>
      </c>
      <c r="C25" s="1">
        <f>(ABS(1/(B7*G14))*G7+ABS((F7*G14)/(B7^2*G14^2))*C7+ABS((F7*B7)/(B7^2*G14^2))*H14)</f>
        <v>2.393314830010403E-2</v>
      </c>
      <c r="H25" s="1" t="s">
        <v>162</v>
      </c>
      <c r="I25" s="76">
        <f>C25/B25*100</f>
        <v>6.5274116913757174</v>
      </c>
      <c r="J25" s="1" t="s">
        <v>87</v>
      </c>
    </row>
    <row r="29" spans="1:10">
      <c r="A29" s="1" t="s">
        <v>163</v>
      </c>
    </row>
    <row r="30" spans="1:10">
      <c r="B30" s="1" t="s">
        <v>164</v>
      </c>
      <c r="C30" s="1" t="s">
        <v>44</v>
      </c>
      <c r="E30" s="1" t="s">
        <v>165</v>
      </c>
      <c r="F30" s="1" t="s">
        <v>44</v>
      </c>
    </row>
    <row r="31" spans="1:10">
      <c r="A31" s="1" t="s">
        <v>166</v>
      </c>
      <c r="B31" s="1">
        <v>9.907</v>
      </c>
      <c r="C31" s="1">
        <v>6.7000000000000004E-2</v>
      </c>
      <c r="E31" s="1">
        <f>(1-COS(B31*PI()/180))/2</f>
        <v>7.455843149664354E-3</v>
      </c>
      <c r="F31" s="1">
        <f>(SIN(B31*PI()/180)/2)*C31*PI()/180</f>
        <v>1.0059478582778723E-4</v>
      </c>
      <c r="H31" s="1" t="s">
        <v>162</v>
      </c>
      <c r="I31" s="76">
        <f>F31/E31*100</f>
        <v>1.3492073774689828</v>
      </c>
      <c r="J31" s="1" t="s">
        <v>87</v>
      </c>
    </row>
    <row r="32" spans="1:10">
      <c r="A32" s="1" t="s">
        <v>167</v>
      </c>
      <c r="B32" s="1">
        <f>(B31*PI()/180)</f>
        <v>0.17290976899507821</v>
      </c>
      <c r="C32" s="1">
        <f>(PI()*C31/180)</f>
        <v>1.1693705988362008E-3</v>
      </c>
      <c r="E32" s="1">
        <f>(1-COS(B32))/2</f>
        <v>7.455843149664354E-3</v>
      </c>
      <c r="F32" s="1">
        <f>(SIN(B32)*C32/2)</f>
        <v>1.0059478582778722E-4</v>
      </c>
    </row>
    <row r="35" spans="1:10">
      <c r="B35" s="1" t="s">
        <v>168</v>
      </c>
      <c r="C35" s="1" t="s">
        <v>44</v>
      </c>
    </row>
    <row r="36" spans="1:10">
      <c r="A36" s="1" t="s">
        <v>156</v>
      </c>
      <c r="B36" s="1">
        <f>(B23*E31)</f>
        <v>2.7137823953694139E-3</v>
      </c>
      <c r="C36" s="1">
        <f>(B23*F31+E31*C23)</f>
        <v>2.0936367077885426E-4</v>
      </c>
      <c r="H36" s="1" t="s">
        <v>162</v>
      </c>
      <c r="I36" s="76">
        <f>C36/B36*100</f>
        <v>7.7148289831968864</v>
      </c>
      <c r="J36" s="1" t="s">
        <v>87</v>
      </c>
    </row>
    <row r="38" spans="1:10">
      <c r="A38" s="1" t="s">
        <v>160</v>
      </c>
      <c r="B38" s="1">
        <f>(B25*E31)</f>
        <v>2.7337298188039264E-3</v>
      </c>
      <c r="C38" s="1">
        <f>(B25*F31+E31*C25)</f>
        <v>2.1532548419860375E-4</v>
      </c>
      <c r="H38" s="1" t="s">
        <v>162</v>
      </c>
      <c r="I38" s="76">
        <f>C38/B38*100</f>
        <v>7.8766190688447004</v>
      </c>
      <c r="J38" s="1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N382"/>
  <sheetViews>
    <sheetView workbookViewId="0"/>
  </sheetViews>
  <sheetFormatPr defaultColWidth="12.6640625" defaultRowHeight="15.75" customHeight="1"/>
  <cols>
    <col min="4" max="4" width="12.21875" customWidth="1"/>
    <col min="7" max="7" width="8.109375" customWidth="1"/>
    <col min="8" max="8" width="15.77734375" customWidth="1"/>
    <col min="16" max="16" width="8" customWidth="1"/>
    <col min="17" max="17" width="7.77734375" customWidth="1"/>
    <col min="20" max="20" width="6.44140625" customWidth="1"/>
    <col min="21" max="21" width="7.6640625" customWidth="1"/>
    <col min="22" max="22" width="7.88671875" customWidth="1"/>
    <col min="23" max="23" width="5.21875" customWidth="1"/>
    <col min="24" max="24" width="7.88671875" customWidth="1"/>
    <col min="25" max="25" width="8" customWidth="1"/>
  </cols>
  <sheetData>
    <row r="1" spans="1:40">
      <c r="A1" s="42" t="s">
        <v>169</v>
      </c>
      <c r="B1" s="42" t="s">
        <v>170</v>
      </c>
      <c r="C1" s="45"/>
      <c r="D1" s="46"/>
      <c r="E1" s="42" t="s">
        <v>29</v>
      </c>
      <c r="F1" s="42" t="s">
        <v>171</v>
      </c>
      <c r="G1" s="46"/>
      <c r="H1" s="46"/>
      <c r="I1" s="42" t="s">
        <v>172</v>
      </c>
      <c r="J1" s="42">
        <v>10</v>
      </c>
      <c r="L1" s="1" t="s">
        <v>173</v>
      </c>
    </row>
    <row r="2" spans="1:40">
      <c r="A2" s="42" t="s">
        <v>169</v>
      </c>
      <c r="B2" s="42" t="s">
        <v>170</v>
      </c>
      <c r="C2" s="45"/>
      <c r="D2" s="46"/>
      <c r="E2" s="42" t="s">
        <v>29</v>
      </c>
      <c r="F2" s="42" t="s">
        <v>171</v>
      </c>
      <c r="G2" s="46"/>
      <c r="H2" s="46"/>
      <c r="I2" s="42" t="s">
        <v>172</v>
      </c>
      <c r="J2" s="42">
        <v>5</v>
      </c>
      <c r="L2" s="1" t="s">
        <v>174</v>
      </c>
      <c r="P2" s="42" t="s">
        <v>175</v>
      </c>
    </row>
    <row r="3" spans="1:40" ht="15.75" customHeight="1">
      <c r="A3" s="77">
        <v>2</v>
      </c>
      <c r="B3" s="17">
        <v>2</v>
      </c>
      <c r="C3" s="17">
        <v>0.01</v>
      </c>
      <c r="D3" s="18">
        <f>C3*A3*10^B3</f>
        <v>2</v>
      </c>
      <c r="E3" s="17" t="s">
        <v>54</v>
      </c>
      <c r="F3" s="17">
        <v>0.01</v>
      </c>
      <c r="G3" s="18">
        <f>IF(E3="min",D3*60,D3)</f>
        <v>120</v>
      </c>
      <c r="H3" s="18">
        <f>IF(E3="min",F3*60,F3)</f>
        <v>0.6</v>
      </c>
      <c r="I3" s="42"/>
      <c r="J3" s="42"/>
      <c r="O3" s="78" t="s">
        <v>176</v>
      </c>
      <c r="P3" s="78">
        <f>0+180</f>
        <v>180</v>
      </c>
      <c r="Q3" s="78">
        <f t="shared" ref="Q3:AN3" si="0">P3+15</f>
        <v>195</v>
      </c>
      <c r="R3" s="78">
        <f t="shared" si="0"/>
        <v>210</v>
      </c>
      <c r="S3" s="78">
        <f t="shared" si="0"/>
        <v>225</v>
      </c>
      <c r="T3" s="78">
        <f t="shared" si="0"/>
        <v>240</v>
      </c>
      <c r="U3" s="78">
        <f t="shared" si="0"/>
        <v>255</v>
      </c>
      <c r="V3" s="78">
        <f t="shared" si="0"/>
        <v>270</v>
      </c>
      <c r="W3" s="78">
        <f t="shared" si="0"/>
        <v>285</v>
      </c>
      <c r="X3" s="78">
        <f t="shared" si="0"/>
        <v>300</v>
      </c>
      <c r="Y3" s="78">
        <f t="shared" si="0"/>
        <v>315</v>
      </c>
      <c r="Z3" s="78">
        <f t="shared" si="0"/>
        <v>330</v>
      </c>
      <c r="AA3" s="78">
        <f t="shared" si="0"/>
        <v>345</v>
      </c>
      <c r="AB3" s="78">
        <f t="shared" si="0"/>
        <v>360</v>
      </c>
      <c r="AC3" s="79">
        <f t="shared" si="0"/>
        <v>375</v>
      </c>
      <c r="AD3" s="78">
        <f t="shared" si="0"/>
        <v>390</v>
      </c>
      <c r="AE3" s="78">
        <f t="shared" si="0"/>
        <v>405</v>
      </c>
      <c r="AF3" s="79">
        <f t="shared" si="0"/>
        <v>420</v>
      </c>
      <c r="AG3" s="79">
        <f t="shared" si="0"/>
        <v>435</v>
      </c>
      <c r="AH3" s="79">
        <f t="shared" si="0"/>
        <v>450</v>
      </c>
      <c r="AI3" s="79">
        <f t="shared" si="0"/>
        <v>465</v>
      </c>
      <c r="AJ3" s="79">
        <f t="shared" si="0"/>
        <v>480</v>
      </c>
      <c r="AK3" s="79">
        <f t="shared" si="0"/>
        <v>495</v>
      </c>
      <c r="AL3" s="79">
        <f t="shared" si="0"/>
        <v>510</v>
      </c>
      <c r="AM3" s="79">
        <f t="shared" si="0"/>
        <v>525</v>
      </c>
      <c r="AN3" s="79">
        <f t="shared" si="0"/>
        <v>540</v>
      </c>
    </row>
    <row r="4" spans="1:40" ht="15.75" customHeight="1">
      <c r="A4" s="21" t="s">
        <v>99</v>
      </c>
      <c r="B4" s="21">
        <v>0</v>
      </c>
      <c r="C4" s="15" t="s">
        <v>38</v>
      </c>
      <c r="D4" s="15" t="s">
        <v>47</v>
      </c>
      <c r="E4" s="15" t="s">
        <v>44</v>
      </c>
      <c r="F4" s="15" t="s">
        <v>48</v>
      </c>
      <c r="G4" s="15" t="s">
        <v>44</v>
      </c>
      <c r="H4" s="15" t="s">
        <v>49</v>
      </c>
      <c r="I4" s="15" t="s">
        <v>44</v>
      </c>
      <c r="O4" s="78">
        <v>-30</v>
      </c>
      <c r="P4" s="1">
        <f t="shared" ref="P4:P16" si="1">H5</f>
        <v>4</v>
      </c>
      <c r="Q4" s="1">
        <f t="shared" ref="Q4:Q16" si="2">H19</f>
        <v>21</v>
      </c>
      <c r="R4" s="1">
        <f t="shared" ref="R4:R16" si="3">H33</f>
        <v>27</v>
      </c>
      <c r="S4" s="1">
        <f t="shared" ref="S4:S16" si="4">H47</f>
        <v>64</v>
      </c>
      <c r="T4" s="1">
        <f t="shared" ref="T4:T16" si="5">H61</f>
        <v>37</v>
      </c>
      <c r="U4" s="1">
        <f t="shared" ref="U4:U16" si="6">H75</f>
        <v>26</v>
      </c>
      <c r="V4" s="1">
        <f t="shared" ref="V4:V16" si="7">H89</f>
        <v>15</v>
      </c>
      <c r="W4" s="1">
        <f t="shared" ref="W4:W16" si="8">H103</f>
        <v>10</v>
      </c>
      <c r="X4" s="1">
        <f t="shared" ref="X4:X16" si="9">H117</f>
        <v>6</v>
      </c>
      <c r="Y4" s="1">
        <f t="shared" ref="Y4:Y16" si="10">H131</f>
        <v>12</v>
      </c>
      <c r="Z4" s="1">
        <f t="shared" ref="Z4:Z16" si="11">H145</f>
        <v>21</v>
      </c>
      <c r="AA4" s="1">
        <f t="shared" ref="AA4:AA16" si="12">H159</f>
        <v>56</v>
      </c>
      <c r="AB4" s="1">
        <f t="shared" ref="AB4:AB16" si="13">H173</f>
        <v>97</v>
      </c>
      <c r="AC4" s="1">
        <f t="shared" ref="AC4:AC16" si="14">O187</f>
        <v>98</v>
      </c>
      <c r="AD4" s="1">
        <f t="shared" ref="AD4:AD16" si="15">H201</f>
        <v>66</v>
      </c>
      <c r="AE4" s="1">
        <f t="shared" ref="AE4:AE16" si="16">H215</f>
        <v>39</v>
      </c>
      <c r="AF4" s="1">
        <f t="shared" ref="AF4:AF16" si="17">O229</f>
        <v>10</v>
      </c>
      <c r="AG4" s="1">
        <f t="shared" ref="AG4:AG16" si="18">O243</f>
        <v>11</v>
      </c>
      <c r="AH4" s="1">
        <f t="shared" ref="AH4:AH16" si="19">O257</f>
        <v>9</v>
      </c>
      <c r="AI4" s="1">
        <f t="shared" ref="AI4:AI16" si="20">O271</f>
        <v>9</v>
      </c>
      <c r="AJ4" s="1">
        <f t="shared" ref="AJ4:AJ16" si="21">O285</f>
        <v>8</v>
      </c>
      <c r="AK4" s="1">
        <f t="shared" ref="AK4:AK16" si="22">O299</f>
        <v>7</v>
      </c>
      <c r="AL4" s="1">
        <f t="shared" ref="AL4:AL16" si="23">O313</f>
        <v>4</v>
      </c>
      <c r="AM4" s="1">
        <f t="shared" ref="AM4:AM16" si="24">O327</f>
        <v>3</v>
      </c>
      <c r="AN4" s="1">
        <f t="shared" ref="AN4:AN16" si="25">O341</f>
        <v>13</v>
      </c>
    </row>
    <row r="5" spans="1:40" ht="15.75" customHeight="1">
      <c r="A5" s="21"/>
      <c r="B5" s="21"/>
      <c r="C5" s="1">
        <v>-30</v>
      </c>
      <c r="D5" s="1">
        <v>4454</v>
      </c>
      <c r="E5" s="45">
        <f t="shared" ref="E5:E17" si="26">ROUND(SQRT(D5),0)</f>
        <v>67</v>
      </c>
      <c r="F5" s="1">
        <v>4424</v>
      </c>
      <c r="G5" s="80">
        <f t="shared" ref="G5:G17" si="27">ROUND(SQRT(F5),0)</f>
        <v>67</v>
      </c>
      <c r="H5" s="1">
        <v>4</v>
      </c>
      <c r="I5" s="80">
        <f t="shared" ref="I5:I17" si="28">ROUND(SQRT(H5),0)</f>
        <v>2</v>
      </c>
      <c r="O5" s="78">
        <f t="shared" ref="O5:O16" si="29">O4+5</f>
        <v>-25</v>
      </c>
      <c r="P5" s="1">
        <f t="shared" si="1"/>
        <v>36</v>
      </c>
      <c r="Q5" s="1">
        <f t="shared" si="2"/>
        <v>57</v>
      </c>
      <c r="R5" s="1">
        <f t="shared" si="3"/>
        <v>111</v>
      </c>
      <c r="S5" s="1">
        <f t="shared" si="4"/>
        <v>114</v>
      </c>
      <c r="T5" s="1">
        <f t="shared" si="5"/>
        <v>129</v>
      </c>
      <c r="U5" s="1">
        <f t="shared" si="6"/>
        <v>106</v>
      </c>
      <c r="V5" s="1">
        <f t="shared" si="7"/>
        <v>59</v>
      </c>
      <c r="W5" s="1">
        <f t="shared" si="8"/>
        <v>34</v>
      </c>
      <c r="X5" s="1">
        <f t="shared" si="9"/>
        <v>13</v>
      </c>
      <c r="Y5" s="1">
        <f t="shared" si="10"/>
        <v>33</v>
      </c>
      <c r="Z5" s="1">
        <f t="shared" si="11"/>
        <v>87</v>
      </c>
      <c r="AA5" s="1">
        <f t="shared" si="12"/>
        <v>199</v>
      </c>
      <c r="AB5" s="1">
        <f t="shared" si="13"/>
        <v>235</v>
      </c>
      <c r="AC5" s="1">
        <f t="shared" si="14"/>
        <v>235</v>
      </c>
      <c r="AD5" s="1">
        <f t="shared" si="15"/>
        <v>219</v>
      </c>
      <c r="AE5" s="1">
        <f t="shared" si="16"/>
        <v>154</v>
      </c>
      <c r="AF5" s="1">
        <f t="shared" si="17"/>
        <v>88</v>
      </c>
      <c r="AG5" s="1">
        <f t="shared" si="18"/>
        <v>22</v>
      </c>
      <c r="AH5" s="1">
        <f t="shared" si="19"/>
        <v>13</v>
      </c>
      <c r="AI5" s="1">
        <f t="shared" si="20"/>
        <v>11</v>
      </c>
      <c r="AJ5" s="1">
        <f t="shared" si="21"/>
        <v>9</v>
      </c>
      <c r="AK5" s="1">
        <f t="shared" si="22"/>
        <v>7</v>
      </c>
      <c r="AL5" s="1">
        <f t="shared" si="23"/>
        <v>14</v>
      </c>
      <c r="AM5" s="1">
        <f t="shared" si="24"/>
        <v>8</v>
      </c>
      <c r="AN5" s="1">
        <f t="shared" si="25"/>
        <v>32</v>
      </c>
    </row>
    <row r="6" spans="1:40" ht="15.75" customHeight="1">
      <c r="C6" s="1">
        <f t="shared" ref="C6:C17" si="30">C5+5</f>
        <v>-25</v>
      </c>
      <c r="D6" s="1">
        <v>4445</v>
      </c>
      <c r="E6" s="45">
        <f t="shared" si="26"/>
        <v>67</v>
      </c>
      <c r="F6" s="1">
        <v>4402</v>
      </c>
      <c r="G6" s="80">
        <f t="shared" si="27"/>
        <v>66</v>
      </c>
      <c r="H6" s="1">
        <v>36</v>
      </c>
      <c r="I6" s="80">
        <f t="shared" si="28"/>
        <v>6</v>
      </c>
      <c r="O6" s="78">
        <f t="shared" si="29"/>
        <v>-20</v>
      </c>
      <c r="P6" s="1">
        <f t="shared" si="1"/>
        <v>96</v>
      </c>
      <c r="Q6" s="1">
        <f t="shared" si="2"/>
        <v>125</v>
      </c>
      <c r="R6" s="1">
        <f t="shared" si="3"/>
        <v>193</v>
      </c>
      <c r="S6" s="1">
        <f t="shared" si="4"/>
        <v>209</v>
      </c>
      <c r="T6" s="1">
        <f t="shared" si="5"/>
        <v>208</v>
      </c>
      <c r="U6" s="1">
        <f t="shared" si="6"/>
        <v>199</v>
      </c>
      <c r="V6" s="1">
        <f t="shared" si="7"/>
        <v>142</v>
      </c>
      <c r="W6" s="1">
        <f t="shared" si="8"/>
        <v>98</v>
      </c>
      <c r="X6" s="1">
        <f t="shared" si="9"/>
        <v>45</v>
      </c>
      <c r="Y6" s="1">
        <f t="shared" si="10"/>
        <v>101</v>
      </c>
      <c r="Z6" s="1">
        <f t="shared" si="11"/>
        <v>198</v>
      </c>
      <c r="AA6" s="1">
        <f t="shared" si="12"/>
        <v>326</v>
      </c>
      <c r="AB6" s="1">
        <f t="shared" si="13"/>
        <v>369</v>
      </c>
      <c r="AC6" s="1">
        <f t="shared" si="14"/>
        <v>394</v>
      </c>
      <c r="AD6" s="1">
        <f t="shared" si="15"/>
        <v>379</v>
      </c>
      <c r="AE6" s="1">
        <f t="shared" si="16"/>
        <v>300</v>
      </c>
      <c r="AF6" s="1">
        <f t="shared" si="17"/>
        <v>233</v>
      </c>
      <c r="AG6" s="1">
        <f t="shared" si="18"/>
        <v>124</v>
      </c>
      <c r="AH6" s="1">
        <f t="shared" si="19"/>
        <v>187</v>
      </c>
      <c r="AI6" s="1">
        <f t="shared" si="20"/>
        <v>11</v>
      </c>
      <c r="AJ6" s="1">
        <f t="shared" si="21"/>
        <v>17</v>
      </c>
      <c r="AK6" s="1">
        <f t="shared" si="22"/>
        <v>7</v>
      </c>
      <c r="AL6" s="1">
        <f t="shared" si="23"/>
        <v>12</v>
      </c>
      <c r="AM6" s="1">
        <f t="shared" si="24"/>
        <v>58</v>
      </c>
      <c r="AN6" s="1">
        <f t="shared" si="25"/>
        <v>93</v>
      </c>
    </row>
    <row r="7" spans="1:40" ht="15.75" customHeight="1">
      <c r="C7" s="1">
        <f t="shared" si="30"/>
        <v>-20</v>
      </c>
      <c r="D7" s="1">
        <v>4378</v>
      </c>
      <c r="E7" s="45">
        <f t="shared" si="26"/>
        <v>66</v>
      </c>
      <c r="F7" s="1">
        <v>4559</v>
      </c>
      <c r="G7" s="80">
        <f t="shared" si="27"/>
        <v>68</v>
      </c>
      <c r="H7" s="1">
        <v>96</v>
      </c>
      <c r="I7" s="80">
        <f t="shared" si="28"/>
        <v>10</v>
      </c>
      <c r="O7" s="78">
        <f t="shared" si="29"/>
        <v>-15</v>
      </c>
      <c r="P7" s="1">
        <f t="shared" si="1"/>
        <v>187</v>
      </c>
      <c r="Q7" s="1">
        <f t="shared" si="2"/>
        <v>262</v>
      </c>
      <c r="R7" s="1">
        <f t="shared" si="3"/>
        <v>230</v>
      </c>
      <c r="S7" s="1">
        <f t="shared" si="4"/>
        <v>215</v>
      </c>
      <c r="T7" s="1">
        <f t="shared" si="5"/>
        <v>185</v>
      </c>
      <c r="U7" s="1">
        <f t="shared" si="6"/>
        <v>215</v>
      </c>
      <c r="V7" s="1">
        <f t="shared" si="7"/>
        <v>204</v>
      </c>
      <c r="W7" s="1">
        <f t="shared" si="8"/>
        <v>200</v>
      </c>
      <c r="X7" s="1">
        <f t="shared" si="9"/>
        <v>192</v>
      </c>
      <c r="Y7" s="1">
        <f t="shared" si="10"/>
        <v>230</v>
      </c>
      <c r="Z7" s="1">
        <f t="shared" si="11"/>
        <v>334</v>
      </c>
      <c r="AA7" s="1">
        <f t="shared" si="12"/>
        <v>397</v>
      </c>
      <c r="AB7" s="1">
        <f t="shared" si="13"/>
        <v>360</v>
      </c>
      <c r="AC7" s="1">
        <f t="shared" si="14"/>
        <v>447</v>
      </c>
      <c r="AD7" s="1">
        <f t="shared" si="15"/>
        <v>382</v>
      </c>
      <c r="AE7" s="1">
        <f t="shared" si="16"/>
        <v>406</v>
      </c>
      <c r="AF7" s="1">
        <f t="shared" si="17"/>
        <v>391</v>
      </c>
      <c r="AG7" s="1">
        <f t="shared" si="18"/>
        <v>313</v>
      </c>
      <c r="AH7" s="1">
        <f t="shared" si="19"/>
        <v>43</v>
      </c>
      <c r="AI7" s="1">
        <f t="shared" si="20"/>
        <v>79</v>
      </c>
      <c r="AJ7" s="1">
        <f t="shared" si="21"/>
        <v>16</v>
      </c>
      <c r="AK7" s="1">
        <f t="shared" si="22"/>
        <v>13</v>
      </c>
      <c r="AL7" s="1">
        <f t="shared" si="23"/>
        <v>44</v>
      </c>
      <c r="AM7" s="1">
        <f t="shared" si="24"/>
        <v>108</v>
      </c>
      <c r="AN7" s="1">
        <f t="shared" si="25"/>
        <v>162</v>
      </c>
    </row>
    <row r="8" spans="1:40" ht="15.75" customHeight="1">
      <c r="C8" s="1">
        <f t="shared" si="30"/>
        <v>-15</v>
      </c>
      <c r="D8" s="1">
        <v>4358</v>
      </c>
      <c r="E8" s="45">
        <f t="shared" si="26"/>
        <v>66</v>
      </c>
      <c r="F8" s="1">
        <v>4557</v>
      </c>
      <c r="G8" s="80">
        <f t="shared" si="27"/>
        <v>68</v>
      </c>
      <c r="H8" s="1">
        <v>187</v>
      </c>
      <c r="I8" s="80">
        <f t="shared" si="28"/>
        <v>14</v>
      </c>
      <c r="O8" s="78">
        <f t="shared" si="29"/>
        <v>-10</v>
      </c>
      <c r="P8" s="1">
        <f t="shared" si="1"/>
        <v>218</v>
      </c>
      <c r="Q8" s="1">
        <f t="shared" si="2"/>
        <v>213</v>
      </c>
      <c r="R8" s="1">
        <f t="shared" si="3"/>
        <v>153</v>
      </c>
      <c r="S8" s="1">
        <f t="shared" si="4"/>
        <v>117</v>
      </c>
      <c r="T8" s="1">
        <f t="shared" si="5"/>
        <v>116</v>
      </c>
      <c r="U8" s="1">
        <f t="shared" si="6"/>
        <v>132</v>
      </c>
      <c r="V8" s="1">
        <f t="shared" si="7"/>
        <v>162</v>
      </c>
      <c r="W8" s="1">
        <f t="shared" si="8"/>
        <v>261</v>
      </c>
      <c r="X8" s="1">
        <f t="shared" si="9"/>
        <v>390</v>
      </c>
      <c r="Y8" s="1">
        <f t="shared" si="10"/>
        <v>450</v>
      </c>
      <c r="Z8" s="1">
        <f t="shared" si="11"/>
        <v>399</v>
      </c>
      <c r="AA8" s="1">
        <f t="shared" si="12"/>
        <v>298</v>
      </c>
      <c r="AB8" s="1">
        <f t="shared" si="13"/>
        <v>246</v>
      </c>
      <c r="AC8" s="1">
        <f t="shared" si="14"/>
        <v>261</v>
      </c>
      <c r="AD8" s="1">
        <f t="shared" si="15"/>
        <v>186</v>
      </c>
      <c r="AE8" s="1">
        <f t="shared" si="16"/>
        <v>262</v>
      </c>
      <c r="AF8" s="1">
        <f t="shared" si="17"/>
        <v>347</v>
      </c>
      <c r="AG8" s="1">
        <f t="shared" si="18"/>
        <v>401</v>
      </c>
      <c r="AH8" s="1">
        <f t="shared" si="19"/>
        <v>343</v>
      </c>
      <c r="AI8" s="1">
        <f t="shared" si="20"/>
        <v>212</v>
      </c>
      <c r="AJ8" s="1">
        <f t="shared" si="21"/>
        <v>84</v>
      </c>
      <c r="AK8" s="1">
        <f t="shared" si="22"/>
        <v>40</v>
      </c>
      <c r="AL8" s="1">
        <f t="shared" si="23"/>
        <v>124</v>
      </c>
      <c r="AM8" s="1">
        <f t="shared" si="24"/>
        <v>169</v>
      </c>
      <c r="AN8" s="1">
        <f t="shared" si="25"/>
        <v>194</v>
      </c>
    </row>
    <row r="9" spans="1:40" ht="15.75" customHeight="1">
      <c r="C9" s="1">
        <f t="shared" si="30"/>
        <v>-10</v>
      </c>
      <c r="D9" s="1">
        <v>4345</v>
      </c>
      <c r="E9" s="45">
        <f t="shared" si="26"/>
        <v>66</v>
      </c>
      <c r="F9" s="1">
        <v>4797</v>
      </c>
      <c r="G9" s="80">
        <f t="shared" si="27"/>
        <v>69</v>
      </c>
      <c r="H9" s="1">
        <v>218</v>
      </c>
      <c r="I9" s="80">
        <f t="shared" si="28"/>
        <v>15</v>
      </c>
      <c r="O9" s="78">
        <f t="shared" si="29"/>
        <v>-5</v>
      </c>
      <c r="P9" s="1">
        <f t="shared" si="1"/>
        <v>218</v>
      </c>
      <c r="Q9" s="1">
        <f t="shared" si="2"/>
        <v>165</v>
      </c>
      <c r="R9" s="1">
        <f t="shared" si="3"/>
        <v>76</v>
      </c>
      <c r="S9" s="1">
        <f t="shared" si="4"/>
        <v>50</v>
      </c>
      <c r="T9" s="1">
        <f t="shared" si="5"/>
        <v>48</v>
      </c>
      <c r="U9" s="1">
        <f t="shared" si="6"/>
        <v>46</v>
      </c>
      <c r="V9" s="1">
        <f t="shared" si="7"/>
        <v>138</v>
      </c>
      <c r="W9" s="1">
        <f t="shared" si="8"/>
        <v>276</v>
      </c>
      <c r="X9" s="1">
        <f t="shared" si="9"/>
        <v>474</v>
      </c>
      <c r="Y9" s="1">
        <f t="shared" si="10"/>
        <v>523</v>
      </c>
      <c r="Z9" s="1">
        <f t="shared" si="11"/>
        <v>415</v>
      </c>
      <c r="AA9" s="1">
        <f t="shared" si="12"/>
        <v>250</v>
      </c>
      <c r="AB9" s="1">
        <f t="shared" si="13"/>
        <v>143</v>
      </c>
      <c r="AC9" s="1">
        <f t="shared" si="14"/>
        <v>95</v>
      </c>
      <c r="AD9" s="1">
        <f t="shared" si="15"/>
        <v>63</v>
      </c>
      <c r="AE9" s="1">
        <f t="shared" si="16"/>
        <v>98</v>
      </c>
      <c r="AF9" s="1">
        <f t="shared" si="17"/>
        <v>177</v>
      </c>
      <c r="AG9" s="1">
        <f t="shared" si="18"/>
        <v>308</v>
      </c>
      <c r="AH9" s="1">
        <f t="shared" si="19"/>
        <v>403</v>
      </c>
      <c r="AI9" s="1">
        <f t="shared" si="20"/>
        <v>364</v>
      </c>
      <c r="AJ9" s="1">
        <f t="shared" si="21"/>
        <v>258</v>
      </c>
      <c r="AK9" s="1">
        <f t="shared" si="22"/>
        <v>203</v>
      </c>
      <c r="AL9" s="1">
        <f t="shared" si="23"/>
        <v>169</v>
      </c>
      <c r="AM9" s="1">
        <f t="shared" si="24"/>
        <v>205</v>
      </c>
      <c r="AN9" s="1">
        <f t="shared" si="25"/>
        <v>170</v>
      </c>
    </row>
    <row r="10" spans="1:40" ht="15.75" customHeight="1">
      <c r="C10" s="1">
        <f t="shared" si="30"/>
        <v>-5</v>
      </c>
      <c r="D10" s="1">
        <v>4428</v>
      </c>
      <c r="E10" s="45">
        <f t="shared" si="26"/>
        <v>67</v>
      </c>
      <c r="F10" s="1">
        <v>4928</v>
      </c>
      <c r="G10" s="80">
        <f t="shared" si="27"/>
        <v>70</v>
      </c>
      <c r="H10" s="1">
        <v>218</v>
      </c>
      <c r="I10" s="80">
        <f t="shared" si="28"/>
        <v>15</v>
      </c>
      <c r="O10" s="78">
        <f t="shared" si="29"/>
        <v>0</v>
      </c>
      <c r="P10" s="1">
        <f t="shared" si="1"/>
        <v>161</v>
      </c>
      <c r="Q10" s="1">
        <f t="shared" si="2"/>
        <v>70</v>
      </c>
      <c r="R10" s="1">
        <f t="shared" si="3"/>
        <v>24</v>
      </c>
      <c r="S10" s="1">
        <f t="shared" si="4"/>
        <v>19</v>
      </c>
      <c r="T10" s="1">
        <f t="shared" si="5"/>
        <v>21</v>
      </c>
      <c r="U10" s="1">
        <f t="shared" si="6"/>
        <v>79</v>
      </c>
      <c r="V10" s="1">
        <f t="shared" si="7"/>
        <v>184</v>
      </c>
      <c r="W10" s="1">
        <f t="shared" si="8"/>
        <v>348</v>
      </c>
      <c r="X10" s="1">
        <f t="shared" si="9"/>
        <v>426</v>
      </c>
      <c r="Y10" s="1">
        <f t="shared" si="10"/>
        <v>416</v>
      </c>
      <c r="Z10" s="1">
        <f t="shared" si="11"/>
        <v>320</v>
      </c>
      <c r="AA10" s="1">
        <f t="shared" si="12"/>
        <v>209</v>
      </c>
      <c r="AB10" s="1">
        <f t="shared" si="13"/>
        <v>108</v>
      </c>
      <c r="AC10" s="1">
        <f t="shared" si="14"/>
        <v>60</v>
      </c>
      <c r="AD10" s="1">
        <f t="shared" si="15"/>
        <v>21</v>
      </c>
      <c r="AE10" s="1">
        <f t="shared" si="16"/>
        <v>20</v>
      </c>
      <c r="AF10" s="1">
        <f t="shared" si="17"/>
        <v>22</v>
      </c>
      <c r="AG10" s="1">
        <f t="shared" si="18"/>
        <v>111</v>
      </c>
      <c r="AH10" s="1">
        <f t="shared" si="19"/>
        <v>229</v>
      </c>
      <c r="AI10" s="1">
        <f t="shared" si="20"/>
        <v>399</v>
      </c>
      <c r="AJ10" s="1">
        <f t="shared" si="21"/>
        <v>478</v>
      </c>
      <c r="AK10" s="1">
        <f t="shared" si="22"/>
        <v>367</v>
      </c>
      <c r="AL10" s="1">
        <f t="shared" si="23"/>
        <v>354</v>
      </c>
      <c r="AM10" s="1">
        <f t="shared" si="24"/>
        <v>228</v>
      </c>
      <c r="AN10" s="1">
        <f t="shared" si="25"/>
        <v>106</v>
      </c>
    </row>
    <row r="11" spans="1:40" ht="15.75" customHeight="1">
      <c r="C11" s="1">
        <f t="shared" si="30"/>
        <v>0</v>
      </c>
      <c r="D11" s="1">
        <v>4449</v>
      </c>
      <c r="E11" s="45">
        <f t="shared" si="26"/>
        <v>67</v>
      </c>
      <c r="F11" s="1">
        <v>5107</v>
      </c>
      <c r="G11" s="80">
        <f t="shared" si="27"/>
        <v>71</v>
      </c>
      <c r="H11" s="1">
        <v>161</v>
      </c>
      <c r="I11" s="80">
        <f t="shared" si="28"/>
        <v>13</v>
      </c>
      <c r="O11" s="78">
        <f t="shared" si="29"/>
        <v>5</v>
      </c>
      <c r="P11" s="1">
        <f t="shared" si="1"/>
        <v>169</v>
      </c>
      <c r="Q11" s="1">
        <f t="shared" si="2"/>
        <v>81</v>
      </c>
      <c r="R11" s="1">
        <f t="shared" si="3"/>
        <v>63</v>
      </c>
      <c r="S11" s="1">
        <f t="shared" si="4"/>
        <v>66</v>
      </c>
      <c r="T11" s="1">
        <f t="shared" si="5"/>
        <v>110</v>
      </c>
      <c r="U11" s="1">
        <f t="shared" si="6"/>
        <v>205</v>
      </c>
      <c r="V11" s="1">
        <f t="shared" si="7"/>
        <v>307</v>
      </c>
      <c r="W11" s="1">
        <f t="shared" si="8"/>
        <v>356</v>
      </c>
      <c r="X11" s="1">
        <f t="shared" si="9"/>
        <v>320</v>
      </c>
      <c r="Y11" s="1">
        <f t="shared" si="10"/>
        <v>208</v>
      </c>
      <c r="Z11" s="1">
        <f t="shared" si="11"/>
        <v>142</v>
      </c>
      <c r="AA11" s="1">
        <f t="shared" si="12"/>
        <v>224</v>
      </c>
      <c r="AB11" s="1">
        <f t="shared" si="13"/>
        <v>192</v>
      </c>
      <c r="AC11" s="1">
        <f t="shared" si="14"/>
        <v>123</v>
      </c>
      <c r="AD11" s="1">
        <f t="shared" si="15"/>
        <v>79</v>
      </c>
      <c r="AE11" s="1">
        <f t="shared" si="16"/>
        <v>60</v>
      </c>
      <c r="AF11" s="1">
        <f t="shared" si="17"/>
        <v>50</v>
      </c>
      <c r="AG11" s="1">
        <f t="shared" si="18"/>
        <v>64</v>
      </c>
      <c r="AH11" s="1">
        <f t="shared" si="19"/>
        <v>119</v>
      </c>
      <c r="AI11" s="1">
        <f t="shared" si="20"/>
        <v>266</v>
      </c>
      <c r="AJ11" s="1">
        <f t="shared" si="21"/>
        <v>510</v>
      </c>
      <c r="AK11" s="1">
        <f t="shared" si="22"/>
        <v>575</v>
      </c>
      <c r="AL11" s="1">
        <f t="shared" si="23"/>
        <v>489</v>
      </c>
      <c r="AM11" s="1">
        <f t="shared" si="24"/>
        <v>320</v>
      </c>
      <c r="AN11" s="1">
        <f t="shared" si="25"/>
        <v>147</v>
      </c>
    </row>
    <row r="12" spans="1:40" ht="15.75" customHeight="1">
      <c r="C12" s="1">
        <f t="shared" si="30"/>
        <v>5</v>
      </c>
      <c r="D12" s="1">
        <v>4456</v>
      </c>
      <c r="E12" s="45">
        <f t="shared" si="26"/>
        <v>67</v>
      </c>
      <c r="F12" s="1">
        <v>5105</v>
      </c>
      <c r="G12" s="80">
        <f t="shared" si="27"/>
        <v>71</v>
      </c>
      <c r="H12" s="1">
        <v>169</v>
      </c>
      <c r="I12" s="80">
        <f t="shared" si="28"/>
        <v>13</v>
      </c>
      <c r="O12" s="78">
        <f t="shared" si="29"/>
        <v>10</v>
      </c>
      <c r="P12" s="1">
        <f t="shared" si="1"/>
        <v>248</v>
      </c>
      <c r="Q12" s="1">
        <f t="shared" si="2"/>
        <v>208</v>
      </c>
      <c r="R12" s="1">
        <f t="shared" si="3"/>
        <v>202</v>
      </c>
      <c r="S12" s="1">
        <f t="shared" si="4"/>
        <v>200</v>
      </c>
      <c r="T12" s="1">
        <f t="shared" si="5"/>
        <v>232</v>
      </c>
      <c r="U12" s="1">
        <f t="shared" si="6"/>
        <v>325</v>
      </c>
      <c r="V12" s="1">
        <f t="shared" si="7"/>
        <v>395</v>
      </c>
      <c r="W12" s="1">
        <f t="shared" si="8"/>
        <v>321</v>
      </c>
      <c r="X12" s="1">
        <f t="shared" si="9"/>
        <v>199</v>
      </c>
      <c r="Y12" s="1">
        <f t="shared" si="10"/>
        <v>38</v>
      </c>
      <c r="Z12" s="1">
        <f t="shared" si="11"/>
        <v>34</v>
      </c>
      <c r="AA12" s="1">
        <f t="shared" si="12"/>
        <v>102</v>
      </c>
      <c r="AB12" s="1">
        <f t="shared" si="13"/>
        <v>202</v>
      </c>
      <c r="AC12" s="1">
        <f t="shared" si="14"/>
        <v>219</v>
      </c>
      <c r="AD12" s="1">
        <f t="shared" si="15"/>
        <v>167</v>
      </c>
      <c r="AE12" s="1">
        <f t="shared" si="16"/>
        <v>111</v>
      </c>
      <c r="AF12" s="1">
        <f t="shared" si="17"/>
        <v>115</v>
      </c>
      <c r="AG12" s="1">
        <f t="shared" si="18"/>
        <v>132</v>
      </c>
      <c r="AH12" s="1">
        <f t="shared" si="19"/>
        <v>133</v>
      </c>
      <c r="AI12" s="1">
        <f t="shared" si="20"/>
        <v>192</v>
      </c>
      <c r="AJ12" s="1">
        <f t="shared" si="21"/>
        <v>340</v>
      </c>
      <c r="AK12" s="1">
        <f t="shared" si="22"/>
        <v>408</v>
      </c>
      <c r="AL12" s="1">
        <f t="shared" si="23"/>
        <v>495</v>
      </c>
      <c r="AM12" s="1">
        <f t="shared" si="24"/>
        <v>392</v>
      </c>
      <c r="AN12" s="1">
        <f t="shared" si="25"/>
        <v>283</v>
      </c>
    </row>
    <row r="13" spans="1:40" ht="15.75" customHeight="1">
      <c r="C13" s="1">
        <f t="shared" si="30"/>
        <v>10</v>
      </c>
      <c r="D13" s="1">
        <v>4387</v>
      </c>
      <c r="E13" s="45">
        <f t="shared" si="26"/>
        <v>66</v>
      </c>
      <c r="F13" s="1">
        <v>5021</v>
      </c>
      <c r="G13" s="80">
        <f t="shared" si="27"/>
        <v>71</v>
      </c>
      <c r="H13" s="1">
        <v>248</v>
      </c>
      <c r="I13" s="80">
        <f t="shared" si="28"/>
        <v>16</v>
      </c>
      <c r="O13" s="78">
        <f t="shared" si="29"/>
        <v>15</v>
      </c>
      <c r="P13" s="1">
        <f t="shared" si="1"/>
        <v>434</v>
      </c>
      <c r="Q13" s="1">
        <f t="shared" si="2"/>
        <v>401</v>
      </c>
      <c r="R13" s="1">
        <f t="shared" si="3"/>
        <v>361</v>
      </c>
      <c r="S13" s="1">
        <f t="shared" si="4"/>
        <v>347</v>
      </c>
      <c r="T13" s="1">
        <f t="shared" si="5"/>
        <v>436</v>
      </c>
      <c r="U13" s="1">
        <f t="shared" si="6"/>
        <v>378</v>
      </c>
      <c r="V13" s="1">
        <f t="shared" si="7"/>
        <v>317</v>
      </c>
      <c r="W13" s="1">
        <f t="shared" si="8"/>
        <v>200</v>
      </c>
      <c r="X13" s="1">
        <f t="shared" si="9"/>
        <v>63</v>
      </c>
      <c r="Y13" s="1">
        <f t="shared" si="10"/>
        <v>15</v>
      </c>
      <c r="Z13" s="1">
        <f t="shared" si="11"/>
        <v>16</v>
      </c>
      <c r="AA13" s="1">
        <f t="shared" si="12"/>
        <v>35</v>
      </c>
      <c r="AB13" s="1">
        <f t="shared" si="13"/>
        <v>99</v>
      </c>
      <c r="AC13" s="1">
        <f t="shared" si="14"/>
        <v>192</v>
      </c>
      <c r="AD13" s="1">
        <f t="shared" si="15"/>
        <v>189</v>
      </c>
      <c r="AE13" s="1">
        <f t="shared" si="16"/>
        <v>197</v>
      </c>
      <c r="AF13" s="1">
        <f t="shared" si="17"/>
        <v>192</v>
      </c>
      <c r="AG13" s="1">
        <f t="shared" si="18"/>
        <v>215</v>
      </c>
      <c r="AH13" s="1">
        <f t="shared" si="19"/>
        <v>216</v>
      </c>
      <c r="AI13" s="1">
        <f t="shared" si="20"/>
        <v>215</v>
      </c>
      <c r="AJ13" s="1">
        <f t="shared" si="21"/>
        <v>197</v>
      </c>
      <c r="AK13" s="1">
        <f t="shared" si="22"/>
        <v>223</v>
      </c>
      <c r="AL13" s="1">
        <f t="shared" si="23"/>
        <v>269</v>
      </c>
      <c r="AM13" s="1">
        <f t="shared" si="24"/>
        <v>359</v>
      </c>
      <c r="AN13" s="1">
        <f t="shared" si="25"/>
        <v>372</v>
      </c>
    </row>
    <row r="14" spans="1:40" ht="15.75" customHeight="1">
      <c r="C14" s="1">
        <f t="shared" si="30"/>
        <v>15</v>
      </c>
      <c r="D14" s="1">
        <v>4436</v>
      </c>
      <c r="E14" s="45">
        <f t="shared" si="26"/>
        <v>67</v>
      </c>
      <c r="F14" s="1">
        <v>5190</v>
      </c>
      <c r="G14" s="80">
        <f t="shared" si="27"/>
        <v>72</v>
      </c>
      <c r="H14" s="1">
        <v>434</v>
      </c>
      <c r="I14" s="80">
        <f t="shared" si="28"/>
        <v>21</v>
      </c>
      <c r="O14" s="78">
        <f t="shared" si="29"/>
        <v>20</v>
      </c>
      <c r="P14" s="1">
        <f t="shared" si="1"/>
        <v>379</v>
      </c>
      <c r="Q14" s="1">
        <f t="shared" si="2"/>
        <v>420</v>
      </c>
      <c r="R14" s="1">
        <f t="shared" si="3"/>
        <v>413</v>
      </c>
      <c r="S14" s="1">
        <f t="shared" si="4"/>
        <v>423</v>
      </c>
      <c r="T14" s="1">
        <f t="shared" si="5"/>
        <v>372</v>
      </c>
      <c r="U14" s="1">
        <f t="shared" si="6"/>
        <v>272</v>
      </c>
      <c r="V14" s="1">
        <f t="shared" si="7"/>
        <v>179</v>
      </c>
      <c r="W14" s="1">
        <f t="shared" si="8"/>
        <v>64</v>
      </c>
      <c r="X14" s="1">
        <f t="shared" si="9"/>
        <v>11</v>
      </c>
      <c r="Y14" s="1">
        <f t="shared" si="10"/>
        <v>10</v>
      </c>
      <c r="Z14" s="1">
        <f t="shared" si="11"/>
        <v>9</v>
      </c>
      <c r="AA14" s="1">
        <f t="shared" si="12"/>
        <v>13</v>
      </c>
      <c r="AB14" s="1">
        <f t="shared" si="13"/>
        <v>14</v>
      </c>
      <c r="AC14" s="1">
        <f t="shared" si="14"/>
        <v>116</v>
      </c>
      <c r="AD14" s="1">
        <f t="shared" si="15"/>
        <v>148</v>
      </c>
      <c r="AE14" s="1">
        <f t="shared" si="16"/>
        <v>156</v>
      </c>
      <c r="AF14" s="1">
        <f t="shared" si="17"/>
        <v>215</v>
      </c>
      <c r="AG14" s="1">
        <f t="shared" si="18"/>
        <v>264</v>
      </c>
      <c r="AH14" s="1">
        <f t="shared" si="19"/>
        <v>222</v>
      </c>
      <c r="AI14" s="1">
        <f t="shared" si="20"/>
        <v>187</v>
      </c>
      <c r="AJ14" s="1">
        <f t="shared" si="21"/>
        <v>136</v>
      </c>
      <c r="AK14" s="1">
        <f t="shared" si="22"/>
        <v>61</v>
      </c>
      <c r="AL14" s="1">
        <f t="shared" si="23"/>
        <v>69</v>
      </c>
      <c r="AM14" s="1">
        <f t="shared" si="24"/>
        <v>235</v>
      </c>
      <c r="AN14" s="1">
        <f t="shared" si="25"/>
        <v>319</v>
      </c>
    </row>
    <row r="15" spans="1:40" ht="15.75" customHeight="1">
      <c r="C15" s="1">
        <f t="shared" si="30"/>
        <v>20</v>
      </c>
      <c r="D15" s="1">
        <v>4478</v>
      </c>
      <c r="E15" s="45">
        <f t="shared" si="26"/>
        <v>67</v>
      </c>
      <c r="F15" s="1">
        <v>5501</v>
      </c>
      <c r="G15" s="80">
        <f t="shared" si="27"/>
        <v>74</v>
      </c>
      <c r="H15" s="1">
        <v>379</v>
      </c>
      <c r="I15" s="80">
        <f t="shared" si="28"/>
        <v>19</v>
      </c>
      <c r="O15" s="78">
        <f t="shared" si="29"/>
        <v>25</v>
      </c>
      <c r="P15" s="1">
        <f t="shared" si="1"/>
        <v>185</v>
      </c>
      <c r="Q15" s="1">
        <f t="shared" si="2"/>
        <v>247</v>
      </c>
      <c r="R15" s="1">
        <f t="shared" si="3"/>
        <v>277</v>
      </c>
      <c r="S15" s="1">
        <f t="shared" si="4"/>
        <v>318</v>
      </c>
      <c r="T15" s="1">
        <f t="shared" si="5"/>
        <v>248</v>
      </c>
      <c r="U15" s="1">
        <f t="shared" si="6"/>
        <v>164</v>
      </c>
      <c r="V15" s="1">
        <f t="shared" si="7"/>
        <v>86</v>
      </c>
      <c r="W15" s="1">
        <f t="shared" si="8"/>
        <v>18</v>
      </c>
      <c r="X15" s="1">
        <f t="shared" si="9"/>
        <v>15</v>
      </c>
      <c r="Y15" s="1">
        <f t="shared" si="10"/>
        <v>14</v>
      </c>
      <c r="Z15" s="1">
        <f t="shared" si="11"/>
        <v>12</v>
      </c>
      <c r="AA15" s="1">
        <f t="shared" si="12"/>
        <v>10</v>
      </c>
      <c r="AB15" s="1">
        <f t="shared" si="13"/>
        <v>6</v>
      </c>
      <c r="AC15" s="1">
        <f t="shared" si="14"/>
        <v>13</v>
      </c>
      <c r="AD15" s="1">
        <f t="shared" si="15"/>
        <v>54</v>
      </c>
      <c r="AE15" s="1">
        <f t="shared" si="16"/>
        <v>99</v>
      </c>
      <c r="AF15" s="1">
        <f t="shared" si="17"/>
        <v>129</v>
      </c>
      <c r="AG15" s="1">
        <f t="shared" si="18"/>
        <v>144</v>
      </c>
      <c r="AH15" s="1">
        <f t="shared" si="19"/>
        <v>133</v>
      </c>
      <c r="AI15" s="1">
        <f t="shared" si="20"/>
        <v>102</v>
      </c>
      <c r="AJ15" s="1">
        <f t="shared" si="21"/>
        <v>69</v>
      </c>
      <c r="AK15" s="1">
        <f t="shared" si="22"/>
        <v>17</v>
      </c>
      <c r="AL15" s="1">
        <f t="shared" si="23"/>
        <v>14</v>
      </c>
      <c r="AM15" s="1">
        <f t="shared" si="24"/>
        <v>40</v>
      </c>
      <c r="AN15" s="1">
        <f t="shared" si="25"/>
        <v>126</v>
      </c>
    </row>
    <row r="16" spans="1:40" ht="15.6">
      <c r="C16" s="1">
        <f t="shared" si="30"/>
        <v>25</v>
      </c>
      <c r="D16" s="1">
        <v>4442</v>
      </c>
      <c r="E16" s="45">
        <f t="shared" si="26"/>
        <v>67</v>
      </c>
      <c r="F16" s="1">
        <v>5403</v>
      </c>
      <c r="G16" s="80">
        <f t="shared" si="27"/>
        <v>74</v>
      </c>
      <c r="H16" s="1">
        <v>185</v>
      </c>
      <c r="I16" s="80">
        <f t="shared" si="28"/>
        <v>14</v>
      </c>
      <c r="O16" s="78">
        <f t="shared" si="29"/>
        <v>30</v>
      </c>
      <c r="P16" s="1">
        <f t="shared" si="1"/>
        <v>45</v>
      </c>
      <c r="Q16" s="1">
        <f t="shared" si="2"/>
        <v>80</v>
      </c>
      <c r="R16" s="1">
        <f t="shared" si="3"/>
        <v>113</v>
      </c>
      <c r="S16" s="1">
        <f t="shared" si="4"/>
        <v>123</v>
      </c>
      <c r="T16" s="1">
        <f t="shared" si="5"/>
        <v>102</v>
      </c>
      <c r="U16" s="1">
        <f t="shared" si="6"/>
        <v>48</v>
      </c>
      <c r="V16" s="1">
        <f t="shared" si="7"/>
        <v>15</v>
      </c>
      <c r="W16" s="1">
        <f t="shared" si="8"/>
        <v>7</v>
      </c>
      <c r="X16" s="1">
        <f t="shared" si="9"/>
        <v>11</v>
      </c>
      <c r="Y16" s="1">
        <f t="shared" si="10"/>
        <v>12</v>
      </c>
      <c r="Z16" s="1">
        <f t="shared" si="11"/>
        <v>9</v>
      </c>
      <c r="AA16" s="1">
        <f t="shared" si="12"/>
        <v>5</v>
      </c>
      <c r="AB16" s="1">
        <f t="shared" si="13"/>
        <v>2</v>
      </c>
      <c r="AC16" s="1">
        <f t="shared" si="14"/>
        <v>8</v>
      </c>
      <c r="AD16" s="1">
        <f t="shared" si="15"/>
        <v>5</v>
      </c>
      <c r="AE16" s="1">
        <f t="shared" si="16"/>
        <v>16</v>
      </c>
      <c r="AF16" s="1">
        <f t="shared" si="17"/>
        <v>57</v>
      </c>
      <c r="AG16" s="1">
        <f t="shared" si="18"/>
        <v>59</v>
      </c>
      <c r="AH16" s="1">
        <f t="shared" si="19"/>
        <v>52</v>
      </c>
      <c r="AI16" s="1">
        <f t="shared" si="20"/>
        <v>47</v>
      </c>
      <c r="AJ16" s="1">
        <f t="shared" si="21"/>
        <v>14</v>
      </c>
      <c r="AK16" s="1">
        <f t="shared" si="22"/>
        <v>12</v>
      </c>
      <c r="AL16" s="1">
        <f t="shared" si="23"/>
        <v>11</v>
      </c>
      <c r="AM16" s="1">
        <f t="shared" si="24"/>
        <v>12</v>
      </c>
      <c r="AN16" s="1">
        <f t="shared" si="25"/>
        <v>20</v>
      </c>
    </row>
    <row r="17" spans="1:40" ht="13.2">
      <c r="C17" s="1">
        <f t="shared" si="30"/>
        <v>30</v>
      </c>
      <c r="D17" s="1">
        <v>4450</v>
      </c>
      <c r="E17" s="45">
        <f t="shared" si="26"/>
        <v>67</v>
      </c>
      <c r="F17" s="1">
        <v>5490</v>
      </c>
      <c r="G17" s="80">
        <f t="shared" si="27"/>
        <v>74</v>
      </c>
      <c r="H17" s="1">
        <v>45</v>
      </c>
      <c r="I17" s="80">
        <f t="shared" si="28"/>
        <v>7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ht="13.2">
      <c r="A18" s="21" t="s">
        <v>99</v>
      </c>
      <c r="B18" s="21">
        <v>15</v>
      </c>
      <c r="C18" s="15" t="s">
        <v>38</v>
      </c>
      <c r="D18" s="15" t="s">
        <v>47</v>
      </c>
      <c r="E18" s="15" t="s">
        <v>44</v>
      </c>
      <c r="F18" s="15" t="s">
        <v>48</v>
      </c>
      <c r="G18" s="15" t="s">
        <v>44</v>
      </c>
      <c r="H18" s="15" t="s">
        <v>49</v>
      </c>
      <c r="I18" s="15" t="s">
        <v>44</v>
      </c>
    </row>
    <row r="19" spans="1:40" ht="13.2">
      <c r="C19" s="1">
        <v>-30</v>
      </c>
      <c r="D19" s="1">
        <v>4607</v>
      </c>
      <c r="E19" s="80">
        <f t="shared" ref="E19:E31" si="31">ROUND(SQRT(D19),0)</f>
        <v>68</v>
      </c>
      <c r="F19" s="1">
        <v>4289</v>
      </c>
      <c r="G19" s="80">
        <f t="shared" ref="G19:G31" si="32">ROUND(SQRT(F19),0)</f>
        <v>65</v>
      </c>
      <c r="H19" s="1">
        <v>21</v>
      </c>
      <c r="I19" s="80">
        <f t="shared" ref="I19:I31" si="33">ROUND(SQRT(H19),0)</f>
        <v>5</v>
      </c>
    </row>
    <row r="20" spans="1:40" ht="13.2">
      <c r="C20" s="1">
        <f t="shared" ref="C20:C31" si="34">C19+5</f>
        <v>-25</v>
      </c>
      <c r="D20" s="1">
        <v>4417</v>
      </c>
      <c r="E20" s="80">
        <f t="shared" si="31"/>
        <v>66</v>
      </c>
      <c r="F20" s="1">
        <v>4290</v>
      </c>
      <c r="G20" s="80">
        <f t="shared" si="32"/>
        <v>65</v>
      </c>
      <c r="H20" s="1">
        <v>57</v>
      </c>
      <c r="I20" s="80">
        <f t="shared" si="33"/>
        <v>8</v>
      </c>
    </row>
    <row r="21" spans="1:40" ht="13.2">
      <c r="C21" s="1">
        <f t="shared" si="34"/>
        <v>-20</v>
      </c>
      <c r="D21" s="1">
        <v>4347</v>
      </c>
      <c r="E21" s="80">
        <f t="shared" si="31"/>
        <v>66</v>
      </c>
      <c r="F21" s="1">
        <v>4289</v>
      </c>
      <c r="G21" s="80">
        <f t="shared" si="32"/>
        <v>65</v>
      </c>
      <c r="H21" s="1">
        <v>125</v>
      </c>
      <c r="I21" s="80">
        <f t="shared" si="33"/>
        <v>11</v>
      </c>
    </row>
    <row r="22" spans="1:40" ht="13.8">
      <c r="C22" s="1">
        <f t="shared" si="34"/>
        <v>-15</v>
      </c>
      <c r="D22" s="1">
        <v>4580</v>
      </c>
      <c r="E22" s="80">
        <f t="shared" si="31"/>
        <v>68</v>
      </c>
      <c r="F22" s="1">
        <v>4431</v>
      </c>
      <c r="G22" s="80">
        <f t="shared" si="32"/>
        <v>67</v>
      </c>
      <c r="H22" s="1">
        <v>262</v>
      </c>
      <c r="I22" s="80">
        <f t="shared" si="33"/>
        <v>16</v>
      </c>
      <c r="T22" s="1" t="s">
        <v>177</v>
      </c>
      <c r="U22" s="81">
        <v>14.32</v>
      </c>
      <c r="V22" s="1">
        <v>0.82</v>
      </c>
      <c r="W22" s="1" t="s">
        <v>29</v>
      </c>
      <c r="AA22" s="1" t="s">
        <v>178</v>
      </c>
    </row>
    <row r="23" spans="1:40" ht="13.2">
      <c r="C23" s="1">
        <f t="shared" si="34"/>
        <v>-10</v>
      </c>
      <c r="D23" s="1">
        <v>4472</v>
      </c>
      <c r="E23" s="80">
        <f t="shared" si="31"/>
        <v>67</v>
      </c>
      <c r="F23" s="1">
        <v>4452</v>
      </c>
      <c r="G23" s="80">
        <f t="shared" si="32"/>
        <v>67</v>
      </c>
      <c r="H23" s="1">
        <v>213</v>
      </c>
      <c r="I23" s="80">
        <f t="shared" si="33"/>
        <v>15</v>
      </c>
      <c r="AA23" s="1" t="s">
        <v>179</v>
      </c>
    </row>
    <row r="24" spans="1:40" ht="13.2">
      <c r="C24" s="1">
        <f t="shared" si="34"/>
        <v>-5</v>
      </c>
      <c r="D24" s="1">
        <v>4573</v>
      </c>
      <c r="E24" s="80">
        <f t="shared" si="31"/>
        <v>68</v>
      </c>
      <c r="F24" s="1">
        <v>4544</v>
      </c>
      <c r="G24" s="80">
        <f t="shared" si="32"/>
        <v>67</v>
      </c>
      <c r="H24" s="1">
        <v>165</v>
      </c>
      <c r="I24" s="80">
        <f t="shared" si="33"/>
        <v>13</v>
      </c>
      <c r="O24" s="1" t="s">
        <v>180</v>
      </c>
      <c r="S24" s="1" t="s">
        <v>181</v>
      </c>
      <c r="T24" s="1" t="s">
        <v>182</v>
      </c>
      <c r="W24" s="1" t="s">
        <v>183</v>
      </c>
      <c r="X24" s="1" t="s">
        <v>184</v>
      </c>
    </row>
    <row r="25" spans="1:40" ht="13.2">
      <c r="C25" s="1">
        <f t="shared" si="34"/>
        <v>0</v>
      </c>
      <c r="D25" s="1">
        <v>4533</v>
      </c>
      <c r="E25" s="80">
        <f t="shared" si="31"/>
        <v>67</v>
      </c>
      <c r="F25" s="1">
        <v>4457</v>
      </c>
      <c r="G25" s="80">
        <f t="shared" si="32"/>
        <v>67</v>
      </c>
      <c r="H25" s="1">
        <v>70</v>
      </c>
      <c r="I25" s="80">
        <f t="shared" si="33"/>
        <v>8</v>
      </c>
      <c r="O25" s="1" t="s">
        <v>185</v>
      </c>
      <c r="T25" s="1" t="s">
        <v>186</v>
      </c>
      <c r="U25" s="57">
        <v>-16.4849</v>
      </c>
      <c r="V25" s="57">
        <v>0.16777500000000001</v>
      </c>
      <c r="W25" s="1">
        <v>2</v>
      </c>
      <c r="X25" s="82">
        <f t="shared" ref="X25:X26" si="35">ROUND(U25,W25)</f>
        <v>-16.48</v>
      </c>
      <c r="Y25" s="28">
        <f t="shared" ref="Y25:Y26" si="36">ROUND(V25,W25)</f>
        <v>0.17</v>
      </c>
      <c r="Z25" s="1">
        <f t="shared" ref="Z25:AA25" si="37">X25*PI()/180</f>
        <v>-0.28763026072866549</v>
      </c>
      <c r="AA25" s="1">
        <f t="shared" si="37"/>
        <v>2.9670597283903608E-3</v>
      </c>
      <c r="AB25" s="1" t="s">
        <v>187</v>
      </c>
      <c r="AC25" s="1">
        <f>-$U$22*SIN(Z25)*(1+SIN(Z26) +COS(Z26))/(SIN(Z26)*SIN(Z25) -(1+COS(Z26))*(1+COS(Z25)) )</f>
        <v>-2.2026122591816266</v>
      </c>
      <c r="AD25" s="1">
        <f t="shared" ref="AD25:AD26" si="38">AF25+AG25+AH25</f>
        <v>0.15196906734538965</v>
      </c>
      <c r="AF25" s="1">
        <f>ABS(SIN(Z25)*(1+SIN(Z26) +COS(Z26))/(SIN(Z26)*SIN(Z25) -(1+COS(Z26))*(1+COS(Z25)) ) ) *$V$22</f>
        <v>0.12612723830509315</v>
      </c>
      <c r="AG25" s="1">
        <f>ABS($U$22*(1+SIN(Z26) +COS(Z26)) *    ( COS(Z25)*(SIN(Z26)*SIN(Z25) -(1+COS(Z26))*(1+COS(Z25)) ) -SIN(Z25)*(SIN(Z26)*COS(Z25) +(1+COS(Z26))*SIN(Z25) )  )/   (SIN(Z26)*SIN(Z25) -(1+COS(Z26))*(1+COS(Z25)) )^2 )*AA25</f>
        <v>2.279504801286077E-2</v>
      </c>
      <c r="AH25" s="1">
        <f>ABS(  $U$22*SIN(Z25)*  (   (COS(Z26) -SIN(Z26))*(SIN(Z26)*SIN(Z25) -(1+COS(Z26))*(1+COS(Z25)) ) -(1+SIN(Z26) +COS(Z26))*(COS(Z26)*SIN(Z25) +SIN(Z26)*(1+COS(Z25)) )  ) / (SIN(Z26)*SIN(Z25) -(1+COS(Z26))*(1+COS(Z25)) )^2   )*AA26</f>
        <v>3.0467810274357201E-3</v>
      </c>
    </row>
    <row r="26" spans="1:40" ht="13.2">
      <c r="C26" s="1">
        <f t="shared" si="34"/>
        <v>5</v>
      </c>
      <c r="D26" s="1">
        <v>4468</v>
      </c>
      <c r="E26" s="80">
        <f t="shared" si="31"/>
        <v>67</v>
      </c>
      <c r="F26" s="1">
        <v>4746</v>
      </c>
      <c r="G26" s="80">
        <f t="shared" si="32"/>
        <v>69</v>
      </c>
      <c r="H26" s="1">
        <v>81</v>
      </c>
      <c r="I26" s="80">
        <f t="shared" si="33"/>
        <v>9</v>
      </c>
      <c r="O26" s="1" t="s">
        <v>188</v>
      </c>
      <c r="T26" s="1" t="s">
        <v>189</v>
      </c>
      <c r="U26" s="57">
        <v>8.3996600000000008</v>
      </c>
      <c r="V26" s="57">
        <v>0.200878</v>
      </c>
      <c r="W26" s="1">
        <v>2</v>
      </c>
      <c r="X26" s="82">
        <f t="shared" si="35"/>
        <v>8.4</v>
      </c>
      <c r="Y26" s="18">
        <f t="shared" si="36"/>
        <v>0.2</v>
      </c>
      <c r="Z26" s="1">
        <f t="shared" ref="Z26:AA26" si="39">X26*PI()/180</f>
        <v>0.14660765716752369</v>
      </c>
      <c r="AA26" s="1">
        <f t="shared" si="39"/>
        <v>3.4906585039886592E-3</v>
      </c>
      <c r="AB26" s="1" t="s">
        <v>190</v>
      </c>
      <c r="AC26" s="1">
        <f>-$U$22*SIN(Z26)*(1+SIN(Z25) +COS(Z25))/(SIN(Z26)*SIN(Z25) -(1+COS(Z26))*(1+COS(Z25)) )</f>
        <v>0.889845331939637</v>
      </c>
      <c r="AD26" s="1">
        <f t="shared" si="38"/>
        <v>7.3667934375171648E-2</v>
      </c>
      <c r="AF26" s="1">
        <f>ABS(SIN(Z26)*(1+SIN(Z25) +COS(Z25))/(SIN(Z25)*SIN(Z26) -(1+COS(Z25))*(1+COS(Z26)) ) ) *$V$22</f>
        <v>5.095483046023061E-2</v>
      </c>
      <c r="AG26" s="1">
        <f>ABS($U$22*(1+SIN(Z25) +COS(Z25)) *    ( COS(Z26)*(SIN(Z25)*SIN(Z26) -(1+COS(Z25))*(1+COS(Z26)) ) -SIN(Z26)*(SIN(Z25)*COS(Z26) +(1+COS(Z25))*SIN(Z26) )  )/   (SIN(Z25)*SIN(Z26) -(1+COS(Z25))*(1+COS(Z26)) )^2 )*AA26</f>
        <v>2.1039140227433084E-2</v>
      </c>
      <c r="AH26" s="1">
        <f>ABS(  $U$22*SIN(Z26)*  (   (COS(Z25) -SIN(Z25))*(SIN(Z25)*SIN(Z26) -(1+COS(Z25))*(1+COS(Z26)) ) -(1+SIN(Z25) +COS(Z25))*(COS(Z25)*SIN(Z26) +SIN(Z25)*(1+COS(Z26)) )  ) / (SIN(Z25)*SIN(Z26) -(1+COS(Z25))*(1+COS(Z26)) )^2   )*AA25</f>
        <v>1.6739636875079591E-3</v>
      </c>
    </row>
    <row r="27" spans="1:40" ht="13.2">
      <c r="C27" s="1">
        <f t="shared" si="34"/>
        <v>10</v>
      </c>
      <c r="D27" s="1">
        <v>4518</v>
      </c>
      <c r="E27" s="80">
        <f t="shared" si="31"/>
        <v>67</v>
      </c>
      <c r="F27" s="1">
        <v>4635</v>
      </c>
      <c r="G27" s="80">
        <f t="shared" si="32"/>
        <v>68</v>
      </c>
      <c r="H27" s="1">
        <v>208</v>
      </c>
      <c r="I27" s="80">
        <f t="shared" si="33"/>
        <v>14</v>
      </c>
      <c r="O27" s="1" t="s">
        <v>191</v>
      </c>
      <c r="Z27" s="56" t="s">
        <v>117</v>
      </c>
      <c r="AA27" s="57">
        <v>2</v>
      </c>
      <c r="AB27" s="1" t="s">
        <v>95</v>
      </c>
      <c r="AC27" s="36">
        <f t="shared" ref="AC27:AD27" si="40">ROUND(AC25,$AA27)</f>
        <v>-2.2000000000000002</v>
      </c>
      <c r="AD27" s="1">
        <f t="shared" si="40"/>
        <v>0.15</v>
      </c>
      <c r="AE27" s="45">
        <v>-2</v>
      </c>
      <c r="AF27" s="1" t="s">
        <v>192</v>
      </c>
      <c r="AG27" s="43">
        <f t="shared" ref="AG27:AG28" si="41">ABS(1 - AC27/AE27)*100</f>
        <v>10.000000000000009</v>
      </c>
      <c r="AH27" s="1" t="s">
        <v>193</v>
      </c>
      <c r="AI27" s="43">
        <f t="shared" ref="AI27:AI28" si="42">AD27/ABS(AC27)*100</f>
        <v>6.8181818181818175</v>
      </c>
      <c r="AJ27" s="1" t="s">
        <v>87</v>
      </c>
      <c r="AK27" s="1" t="b">
        <f t="shared" ref="AK27:AK28" si="43">(AI27&lt;AG27)</f>
        <v>1</v>
      </c>
    </row>
    <row r="28" spans="1:40" ht="13.2">
      <c r="C28" s="1">
        <f t="shared" si="34"/>
        <v>15</v>
      </c>
      <c r="D28" s="1">
        <v>4661</v>
      </c>
      <c r="E28" s="80">
        <f t="shared" si="31"/>
        <v>68</v>
      </c>
      <c r="F28" s="1">
        <v>4880</v>
      </c>
      <c r="G28" s="80">
        <f t="shared" si="32"/>
        <v>70</v>
      </c>
      <c r="H28" s="1">
        <v>401</v>
      </c>
      <c r="I28" s="80">
        <f t="shared" si="33"/>
        <v>20</v>
      </c>
      <c r="O28" s="1" t="s">
        <v>194</v>
      </c>
      <c r="AA28" s="1">
        <v>3</v>
      </c>
      <c r="AB28" s="1" t="s">
        <v>141</v>
      </c>
      <c r="AC28" s="47">
        <f t="shared" ref="AC28:AD28" si="44">ROUND(AC26,$AA28)</f>
        <v>0.89</v>
      </c>
      <c r="AD28" s="1">
        <f t="shared" si="44"/>
        <v>7.3999999999999996E-2</v>
      </c>
      <c r="AE28" s="45">
        <v>1</v>
      </c>
      <c r="AG28" s="43">
        <f t="shared" si="41"/>
        <v>10.999999999999998</v>
      </c>
      <c r="AH28" s="1" t="s">
        <v>87</v>
      </c>
      <c r="AI28" s="43">
        <f t="shared" si="42"/>
        <v>8.3146067415730336</v>
      </c>
      <c r="AJ28" s="1" t="s">
        <v>87</v>
      </c>
      <c r="AK28" s="1" t="b">
        <f t="shared" si="43"/>
        <v>1</v>
      </c>
    </row>
    <row r="29" spans="1:40" ht="13.2">
      <c r="C29" s="1">
        <f t="shared" si="34"/>
        <v>20</v>
      </c>
      <c r="D29" s="1">
        <v>4569</v>
      </c>
      <c r="E29" s="80">
        <f t="shared" si="31"/>
        <v>68</v>
      </c>
      <c r="F29" s="1">
        <v>4952</v>
      </c>
      <c r="G29" s="80">
        <f t="shared" si="32"/>
        <v>70</v>
      </c>
      <c r="H29" s="1">
        <v>420</v>
      </c>
      <c r="I29" s="80">
        <f t="shared" si="33"/>
        <v>20</v>
      </c>
      <c r="O29" s="1" t="s">
        <v>195</v>
      </c>
      <c r="T29" s="1" t="s">
        <v>196</v>
      </c>
      <c r="W29" s="1" t="s">
        <v>183</v>
      </c>
      <c r="X29" s="1" t="s">
        <v>184</v>
      </c>
    </row>
    <row r="30" spans="1:40" ht="13.2">
      <c r="C30" s="1">
        <f t="shared" si="34"/>
        <v>25</v>
      </c>
      <c r="D30" s="1">
        <v>4572</v>
      </c>
      <c r="E30" s="80">
        <f t="shared" si="31"/>
        <v>68</v>
      </c>
      <c r="F30" s="1">
        <v>5038</v>
      </c>
      <c r="G30" s="80">
        <f t="shared" si="32"/>
        <v>71</v>
      </c>
      <c r="H30" s="1">
        <v>247</v>
      </c>
      <c r="I30" s="80">
        <f t="shared" si="33"/>
        <v>16</v>
      </c>
      <c r="O30" s="1" t="s">
        <v>197</v>
      </c>
      <c r="S30" s="1" t="s">
        <v>182</v>
      </c>
      <c r="T30" s="1" t="s">
        <v>186</v>
      </c>
      <c r="U30" s="1">
        <v>8.7536000000000005</v>
      </c>
      <c r="V30" s="1">
        <v>0.327546</v>
      </c>
      <c r="W30" s="1">
        <v>2</v>
      </c>
      <c r="X30" s="82">
        <f t="shared" ref="X30:X31" si="45">ROUND(U30,W30)</f>
        <v>8.75</v>
      </c>
      <c r="Y30" s="28">
        <f t="shared" ref="Y30:Y31" si="46">ROUND(V30,W30)</f>
        <v>0.33</v>
      </c>
      <c r="Z30" s="1">
        <f t="shared" ref="Z30:AA30" si="47">X30*PI()/180</f>
        <v>0.15271630954950383</v>
      </c>
      <c r="AA30" s="1">
        <f t="shared" si="47"/>
        <v>5.7595865315812882E-3</v>
      </c>
      <c r="AB30" s="1" t="s">
        <v>187</v>
      </c>
      <c r="AC30" s="1">
        <f>-$U$22*SIN(Z30)*(1+SIN(Z31) +COS(Z31))/(SIN(Z31)*SIN(Z30) -(1+COS(Z31))*(1+COS(Z30)) )</f>
        <v>0.92922537668707417</v>
      </c>
      <c r="AD30" s="1">
        <f t="shared" ref="AD30:AD31" si="48">AF30+AG30+AH30</f>
        <v>9.1711210817390115E-2</v>
      </c>
      <c r="AF30" s="1">
        <f>ABS(SIN(Z30)*(1+SIN(Z31) +COS(Z31))/(SIN(Z31)*SIN(Z30) -(1+COS(Z31))*(1+COS(Z30)) ) ) *$V$22</f>
        <v>5.320983302258385E-2</v>
      </c>
      <c r="AG30" s="1">
        <f>ABS($U$22*(1+SIN(Z31) +COS(Z31)) *    ( COS(Z30)*(SIN(Z31)*SIN(Z30) -(1+COS(Z31))*(1+COS(Z30)) ) -SIN(Z30)*(SIN(Z31)*COS(Z30) +(1+COS(Z31))*SIN(Z30) )  )/   (SIN(Z31)*SIN(Z30) -(1+COS(Z31))*(1+COS(Z30)) )^2 )*AA30</f>
        <v>3.480201022073575E-2</v>
      </c>
      <c r="AH30" s="1">
        <f>ABS(  $U$22*SIN(Z30)*  (   (COS(Z31) -SIN(Z31))*(SIN(Z31)*SIN(Z30) -(1+COS(Z31))*(1+COS(Z30)) ) -(1+SIN(Z31) +COS(Z31))*(COS(Z31)*SIN(Z30) +SIN(Z31)*(1+COS(Z30)) )  ) / (SIN(Z31)*SIN(Z30) -(1+COS(Z31))*(1+COS(Z30)) )^2   )*AA31</f>
        <v>3.6993675740705206E-3</v>
      </c>
    </row>
    <row r="31" spans="1:40" ht="13.2">
      <c r="C31" s="1">
        <f t="shared" si="34"/>
        <v>30</v>
      </c>
      <c r="D31" s="1">
        <v>4477</v>
      </c>
      <c r="E31" s="80">
        <f t="shared" si="31"/>
        <v>67</v>
      </c>
      <c r="F31" s="1">
        <v>5130</v>
      </c>
      <c r="G31" s="80">
        <f t="shared" si="32"/>
        <v>72</v>
      </c>
      <c r="H31" s="1">
        <v>80</v>
      </c>
      <c r="I31" s="80">
        <f t="shared" si="33"/>
        <v>9</v>
      </c>
      <c r="O31" s="1" t="s">
        <v>198</v>
      </c>
      <c r="T31" s="1" t="s">
        <v>189</v>
      </c>
      <c r="U31" s="1">
        <v>-16.231200000000001</v>
      </c>
      <c r="V31" s="1">
        <v>0.355124</v>
      </c>
      <c r="W31" s="1">
        <v>2</v>
      </c>
      <c r="X31" s="82">
        <f t="shared" si="45"/>
        <v>-16.23</v>
      </c>
      <c r="Y31" s="28">
        <f t="shared" si="46"/>
        <v>0.36</v>
      </c>
      <c r="Z31" s="1">
        <f t="shared" ref="Z31:AA31" si="49">X31*PI()/180</f>
        <v>-0.28326693759867971</v>
      </c>
      <c r="AA31" s="1">
        <f t="shared" si="49"/>
        <v>6.2831853071795866E-3</v>
      </c>
      <c r="AB31" s="1" t="s">
        <v>190</v>
      </c>
      <c r="AC31" s="1">
        <f>-$U$22*SIN(Z31)*(1+SIN(Z30) +COS(Z30))/(SIN(Z31)*SIN(Z30) -(1+COS(Z31))*(1+COS(Z30)) )</f>
        <v>-2.1743594129056221</v>
      </c>
      <c r="AD31" s="1">
        <f t="shared" si="48"/>
        <v>0.17782514459565818</v>
      </c>
      <c r="AF31" s="1">
        <f>ABS(SIN(Z31)*(1+SIN(Z30) +COS(Z30))/(SIN(Z30)*SIN(Z31) -(1+COS(Z30))*(1+COS(Z31)) ) ) *$V$22</f>
        <v>0.1245094077222493</v>
      </c>
      <c r="AG31" s="1">
        <f>ABS($U$22*(1+SIN(Z30) +COS(Z30)) *    ( COS(Z31)*(SIN(Z30)*SIN(Z31) -(1+COS(Z30))*(1+COS(Z31)) ) -SIN(Z31)*(SIN(Z30)*COS(Z31) +(1+COS(Z30))*SIN(Z31) )  )/   (SIN(Z30)*SIN(Z31) -(1+COS(Z30))*(1+COS(Z31)) )^2 )*AA31</f>
        <v>4.8353381301749369E-2</v>
      </c>
      <c r="AH31" s="1">
        <f>ABS(  $U$22*SIN(Z31)*  (   (COS(Z30) -SIN(Z30))*(SIN(Z30)*SIN(Z31) -(1+COS(Z30))*(1+COS(Z31)) ) -(1+SIN(Z30) +COS(Z30))*(COS(Z30)*SIN(Z31) +SIN(Z30)*(1+COS(Z31)) )  ) / (SIN(Z30)*SIN(Z31) -(1+COS(Z30))*(1+COS(Z31)) )^2   )*AA30</f>
        <v>4.9623555716594948E-3</v>
      </c>
    </row>
    <row r="32" spans="1:40" ht="13.2">
      <c r="A32" s="21" t="s">
        <v>99</v>
      </c>
      <c r="B32" s="21">
        <v>30</v>
      </c>
      <c r="C32" s="15" t="s">
        <v>38</v>
      </c>
      <c r="D32" s="15" t="s">
        <v>47</v>
      </c>
      <c r="E32" s="15" t="s">
        <v>44</v>
      </c>
      <c r="F32" s="15" t="s">
        <v>48</v>
      </c>
      <c r="G32" s="15" t="s">
        <v>44</v>
      </c>
      <c r="H32" s="15" t="s">
        <v>49</v>
      </c>
      <c r="I32" s="15" t="s">
        <v>44</v>
      </c>
      <c r="O32" s="1" t="s">
        <v>199</v>
      </c>
      <c r="S32" s="1" t="s">
        <v>182</v>
      </c>
      <c r="Z32" s="56" t="s">
        <v>117</v>
      </c>
      <c r="AA32" s="57">
        <v>3</v>
      </c>
      <c r="AB32" s="1" t="s">
        <v>95</v>
      </c>
      <c r="AC32" s="47">
        <f t="shared" ref="AC32:AD32" si="50">ROUND(AC30,$AA32)</f>
        <v>0.92900000000000005</v>
      </c>
      <c r="AD32" s="1">
        <f t="shared" si="50"/>
        <v>9.1999999999999998E-2</v>
      </c>
      <c r="AE32" s="45">
        <v>1</v>
      </c>
      <c r="AF32" s="1" t="s">
        <v>192</v>
      </c>
      <c r="AG32" s="36">
        <f t="shared" ref="AG32:AG33" si="51">ABS(1 - AC32/AE32)*100</f>
        <v>7.0999999999999952</v>
      </c>
      <c r="AH32" s="1" t="s">
        <v>193</v>
      </c>
      <c r="AI32" s="43">
        <f t="shared" ref="AI32:AI33" si="52">AD32/ABS(AC32)*100</f>
        <v>9.9031216361679224</v>
      </c>
      <c r="AJ32" s="1" t="s">
        <v>87</v>
      </c>
      <c r="AK32" s="1" t="b">
        <f t="shared" ref="AK32:AK33" si="53">(AI32&lt;AG32)</f>
        <v>0</v>
      </c>
    </row>
    <row r="33" spans="1:37" ht="13.2">
      <c r="C33" s="1">
        <v>-30</v>
      </c>
      <c r="D33" s="1">
        <v>4496</v>
      </c>
      <c r="E33" s="80">
        <f t="shared" ref="E33:E45" si="54">ROUND(SQRT(D33),0)</f>
        <v>67</v>
      </c>
      <c r="F33" s="1">
        <v>4163</v>
      </c>
      <c r="G33" s="80">
        <f t="shared" ref="G33:G45" si="55">ROUND(SQRT(F33),0)</f>
        <v>65</v>
      </c>
      <c r="H33" s="1">
        <v>27</v>
      </c>
      <c r="I33" s="80">
        <f t="shared" ref="I33:I45" si="56">ROUND(SQRT(H33),0)</f>
        <v>5</v>
      </c>
      <c r="O33" s="1" t="s">
        <v>200</v>
      </c>
      <c r="U33" s="57"/>
      <c r="V33" s="57"/>
      <c r="AA33" s="1">
        <v>2</v>
      </c>
      <c r="AB33" s="1" t="s">
        <v>141</v>
      </c>
      <c r="AC33" s="1">
        <f t="shared" ref="AC33:AD33" si="57">ROUND(AC31,$AA33)</f>
        <v>-2.17</v>
      </c>
      <c r="AD33" s="1">
        <f t="shared" si="57"/>
        <v>0.18</v>
      </c>
      <c r="AE33" s="45">
        <v>-2</v>
      </c>
      <c r="AG33" s="36">
        <f t="shared" si="51"/>
        <v>8.4999999999999964</v>
      </c>
      <c r="AH33" s="1" t="s">
        <v>87</v>
      </c>
      <c r="AI33" s="43">
        <f t="shared" si="52"/>
        <v>8.2949308755760374</v>
      </c>
      <c r="AJ33" s="1" t="s">
        <v>87</v>
      </c>
      <c r="AK33" s="1" t="b">
        <f t="shared" si="53"/>
        <v>1</v>
      </c>
    </row>
    <row r="34" spans="1:37" ht="13.2">
      <c r="C34" s="1">
        <f t="shared" ref="C34:C45" si="58">C33+5</f>
        <v>-25</v>
      </c>
      <c r="D34" s="1">
        <v>4489</v>
      </c>
      <c r="E34" s="80">
        <f t="shared" si="54"/>
        <v>67</v>
      </c>
      <c r="F34" s="1">
        <v>4106</v>
      </c>
      <c r="G34" s="80">
        <f t="shared" si="55"/>
        <v>64</v>
      </c>
      <c r="H34" s="1">
        <v>111</v>
      </c>
      <c r="I34" s="80">
        <f t="shared" si="56"/>
        <v>11</v>
      </c>
      <c r="O34" s="1" t="s">
        <v>201</v>
      </c>
      <c r="U34" s="57"/>
      <c r="V34" s="57"/>
    </row>
    <row r="35" spans="1:37" ht="13.2">
      <c r="C35" s="1">
        <f t="shared" si="58"/>
        <v>-20</v>
      </c>
      <c r="D35" s="1">
        <v>4549</v>
      </c>
      <c r="E35" s="80">
        <f t="shared" si="54"/>
        <v>67</v>
      </c>
      <c r="F35" s="1">
        <v>4162</v>
      </c>
      <c r="G35" s="80">
        <f t="shared" si="55"/>
        <v>65</v>
      </c>
      <c r="H35" s="1">
        <v>193</v>
      </c>
      <c r="I35" s="80">
        <f t="shared" si="56"/>
        <v>14</v>
      </c>
      <c r="O35" s="1" t="s">
        <v>202</v>
      </c>
      <c r="S35" s="1" t="s">
        <v>196</v>
      </c>
    </row>
    <row r="36" spans="1:37" ht="13.2">
      <c r="C36" s="1">
        <f t="shared" si="58"/>
        <v>-15</v>
      </c>
      <c r="D36" s="1">
        <v>4519</v>
      </c>
      <c r="E36" s="80">
        <f t="shared" si="54"/>
        <v>67</v>
      </c>
      <c r="F36" s="1">
        <v>4218</v>
      </c>
      <c r="G36" s="80">
        <f t="shared" si="55"/>
        <v>65</v>
      </c>
      <c r="H36" s="1">
        <v>230</v>
      </c>
      <c r="I36" s="80">
        <f t="shared" si="56"/>
        <v>15</v>
      </c>
      <c r="O36" s="1" t="s">
        <v>203</v>
      </c>
      <c r="Z36" s="1" t="s">
        <v>182</v>
      </c>
      <c r="AA36" s="45" t="str">
        <f t="shared" ref="AA36:AA37" si="59">L1</f>
        <v>(-2, 1)</v>
      </c>
    </row>
    <row r="37" spans="1:37" ht="13.2">
      <c r="C37" s="1">
        <f t="shared" si="58"/>
        <v>-10</v>
      </c>
      <c r="D37" s="1">
        <v>4414</v>
      </c>
      <c r="E37" s="80">
        <f t="shared" si="54"/>
        <v>66</v>
      </c>
      <c r="F37" s="1">
        <v>4299</v>
      </c>
      <c r="G37" s="80">
        <f t="shared" si="55"/>
        <v>66</v>
      </c>
      <c r="H37" s="1">
        <v>153</v>
      </c>
      <c r="I37" s="80">
        <f t="shared" si="56"/>
        <v>12</v>
      </c>
      <c r="O37" s="1" t="s">
        <v>204</v>
      </c>
      <c r="S37" s="1" t="s">
        <v>196</v>
      </c>
      <c r="Z37" s="1" t="s">
        <v>196</v>
      </c>
      <c r="AA37" s="45" t="str">
        <f t="shared" si="59"/>
        <v>(1, -2)</v>
      </c>
    </row>
    <row r="38" spans="1:37" ht="13.8">
      <c r="C38" s="1">
        <f t="shared" si="58"/>
        <v>-5</v>
      </c>
      <c r="D38" s="1">
        <v>4498</v>
      </c>
      <c r="E38" s="80">
        <f t="shared" si="54"/>
        <v>67</v>
      </c>
      <c r="F38" s="1">
        <v>4278</v>
      </c>
      <c r="G38" s="80">
        <f t="shared" si="55"/>
        <v>65</v>
      </c>
      <c r="H38" s="1">
        <v>76</v>
      </c>
      <c r="I38" s="80">
        <f t="shared" si="56"/>
        <v>9</v>
      </c>
      <c r="O38" s="1" t="s">
        <v>205</v>
      </c>
      <c r="T38" s="1" t="s">
        <v>177</v>
      </c>
      <c r="U38" s="42">
        <f>U22</f>
        <v>14.32</v>
      </c>
      <c r="V38" s="42">
        <v>0.82</v>
      </c>
      <c r="W38" s="1" t="s">
        <v>29</v>
      </c>
    </row>
    <row r="39" spans="1:37" ht="13.2">
      <c r="C39" s="1">
        <f t="shared" si="58"/>
        <v>0</v>
      </c>
      <c r="D39" s="1">
        <v>4665</v>
      </c>
      <c r="E39" s="80">
        <f t="shared" si="54"/>
        <v>68</v>
      </c>
      <c r="F39" s="1">
        <v>4326</v>
      </c>
      <c r="G39" s="80">
        <f t="shared" si="55"/>
        <v>66</v>
      </c>
      <c r="H39" s="1">
        <v>24</v>
      </c>
      <c r="I39" s="80">
        <f t="shared" si="56"/>
        <v>5</v>
      </c>
    </row>
    <row r="40" spans="1:37" ht="13.2">
      <c r="C40" s="1">
        <f t="shared" si="58"/>
        <v>5</v>
      </c>
      <c r="D40" s="1">
        <v>4515</v>
      </c>
      <c r="E40" s="80">
        <f t="shared" si="54"/>
        <v>67</v>
      </c>
      <c r="F40" s="1">
        <v>4453</v>
      </c>
      <c r="G40" s="80">
        <f t="shared" si="55"/>
        <v>67</v>
      </c>
      <c r="H40" s="1">
        <v>63</v>
      </c>
      <c r="I40" s="80">
        <f t="shared" si="56"/>
        <v>8</v>
      </c>
      <c r="O40" s="1" t="s">
        <v>180</v>
      </c>
      <c r="S40" s="1" t="s">
        <v>206</v>
      </c>
      <c r="T40" s="1" t="s">
        <v>182</v>
      </c>
      <c r="W40" s="1" t="s">
        <v>183</v>
      </c>
      <c r="X40" s="1" t="s">
        <v>184</v>
      </c>
    </row>
    <row r="41" spans="1:37" ht="13.2">
      <c r="C41" s="1">
        <f t="shared" si="58"/>
        <v>10</v>
      </c>
      <c r="D41" s="1">
        <v>4536</v>
      </c>
      <c r="E41" s="80">
        <f t="shared" si="54"/>
        <v>67</v>
      </c>
      <c r="F41" s="1">
        <v>4586</v>
      </c>
      <c r="G41" s="80">
        <f t="shared" si="55"/>
        <v>68</v>
      </c>
      <c r="H41" s="1">
        <v>202</v>
      </c>
      <c r="I41" s="80">
        <f t="shared" si="56"/>
        <v>14</v>
      </c>
      <c r="O41" s="1" t="s">
        <v>207</v>
      </c>
      <c r="T41" s="1" t="s">
        <v>186</v>
      </c>
      <c r="U41" s="57">
        <v>-17.1996</v>
      </c>
      <c r="V41" s="57">
        <v>0.22992799999999999</v>
      </c>
      <c r="W41" s="1">
        <v>2</v>
      </c>
      <c r="X41" s="82">
        <f t="shared" ref="X41:X42" si="60">ROUND(U41,W41)</f>
        <v>-17.2</v>
      </c>
      <c r="Y41" s="28">
        <f t="shared" ref="Y41:Y42" si="61">ROUND(V41,W41)</f>
        <v>0.23</v>
      </c>
      <c r="Z41" s="1">
        <f t="shared" ref="Z41:AA41" si="62">X41*PI()/180</f>
        <v>-0.30019663134302466</v>
      </c>
      <c r="AA41" s="1">
        <f t="shared" si="62"/>
        <v>4.014257279586958E-3</v>
      </c>
      <c r="AB41" s="1" t="s">
        <v>187</v>
      </c>
      <c r="AC41" s="1">
        <f>-$U$22*SIN(Z41)*(1+SIN(Z42) +COS(Z42))/(SIN(Z42)*SIN(Z41) -(1+COS(Z42))*(1+COS(Z41)) )</f>
        <v>-2.312128875693523</v>
      </c>
      <c r="AD41" s="1">
        <f t="shared" ref="AD41:AD42" si="63">AF41+AG41+AH41</f>
        <v>0.16829277834064671</v>
      </c>
      <c r="AF41" s="1">
        <f>ABS(SIN(Z41)*(1+SIN(Z42) +COS(Z42))/(SIN(Z42)*SIN(Z41) -(1+COS(Z42))*(1+COS(Z41)) ) ) *$V$22</f>
        <v>0.13239844120591401</v>
      </c>
      <c r="AG41" s="1">
        <f>ABS($U$22*(1+SIN(Z42) +COS(Z42)) *    ( COS(Z41)*(SIN(Z42)*SIN(Z41) -(1+COS(Z42))*(1+COS(Z41)) ) -SIN(Z41)*(SIN(Z42)*COS(Z41) +(1+COS(Z42))*SIN(Z41) )  )/   (SIN(Z42)*SIN(Z41) -(1+COS(Z42))*(1+COS(Z41)) )^2 )*AA41</f>
        <v>3.1009162073814801E-2</v>
      </c>
      <c r="AH41" s="1">
        <f>ABS(  $U$22*SIN(Z41)*  (   (COS(Z42) -SIN(Z42))*(SIN(Z42)*SIN(Z41) -(1+COS(Z42))*(1+COS(Z41)) ) -(1+SIN(Z42) +COS(Z42))*(COS(Z42)*SIN(Z41) +SIN(Z42)*(1+COS(Z41)) )  ) / (SIN(Z42)*SIN(Z41) -(1+COS(Z42))*(1+COS(Z41)) )^2   )*AA42</f>
        <v>4.8851750609179151E-3</v>
      </c>
    </row>
    <row r="42" spans="1:37" ht="13.2">
      <c r="C42" s="1">
        <f t="shared" si="58"/>
        <v>15</v>
      </c>
      <c r="D42" s="1">
        <v>4509</v>
      </c>
      <c r="E42" s="80">
        <f t="shared" si="54"/>
        <v>67</v>
      </c>
      <c r="F42" s="1">
        <v>4581</v>
      </c>
      <c r="G42" s="80">
        <f t="shared" si="55"/>
        <v>68</v>
      </c>
      <c r="H42" s="1">
        <v>361</v>
      </c>
      <c r="I42" s="80">
        <f t="shared" si="56"/>
        <v>19</v>
      </c>
      <c r="O42" s="1" t="s">
        <v>188</v>
      </c>
      <c r="T42" s="1" t="s">
        <v>189</v>
      </c>
      <c r="U42" s="57">
        <v>9.2175899999999995</v>
      </c>
      <c r="V42" s="57">
        <v>0.31315100000000001</v>
      </c>
      <c r="W42" s="1">
        <v>2</v>
      </c>
      <c r="X42" s="82">
        <f t="shared" si="60"/>
        <v>9.2200000000000006</v>
      </c>
      <c r="Y42" s="28">
        <f t="shared" si="61"/>
        <v>0.31</v>
      </c>
      <c r="Z42" s="1">
        <f t="shared" ref="Z42:AA42" si="64">X42*PI()/180</f>
        <v>0.16091935703387719</v>
      </c>
      <c r="AA42" s="1">
        <f t="shared" si="64"/>
        <v>5.4105206811824215E-3</v>
      </c>
      <c r="AB42" s="1" t="s">
        <v>190</v>
      </c>
      <c r="AC42" s="1">
        <f>-$U$22*SIN(Z42)*(1+SIN(Z41) +COS(Z41))/(SIN(Z42)*SIN(Z41) -(1+COS(Z42))*(1+COS(Z41)) )</f>
        <v>0.96823973648472506</v>
      </c>
      <c r="AD42" s="1">
        <f t="shared" si="63"/>
        <v>9.0245995481454455E-2</v>
      </c>
      <c r="AF42" s="1">
        <f>ABS(SIN(Z42)*(1+SIN(Z41) +COS(Z41))/(SIN(Z41)*SIN(Z42) -(1+COS(Z41))*(1+COS(Z42)) ) ) *$V$22</f>
        <v>5.5443895524963295E-2</v>
      </c>
      <c r="AG42" s="1">
        <f>ABS($U$22*(1+SIN(Z41) +COS(Z41)) *    ( COS(Z42)*(SIN(Z41)*SIN(Z42) -(1+COS(Z41))*(1+COS(Z42)) ) -SIN(Z42)*(SIN(Z41)*COS(Z42) +(1+COS(Z41))*SIN(Z42) )  )/   (SIN(Z41)*SIN(Z42) -(1+COS(Z41))*(1+COS(Z42)) )^2 )*AA42</f>
        <v>3.2301714783786642E-2</v>
      </c>
      <c r="AH42" s="1">
        <f>ABS(  $U$22*SIN(Z42)*  (   (COS(Z41) -SIN(Z41))*(SIN(Z41)*SIN(Z42) -(1+COS(Z41))*(1+COS(Z42)) ) -(1+SIN(Z41) +COS(Z41))*(COS(Z41)*SIN(Z42) +SIN(Z41)*(1+COS(Z42)) )  ) / (SIN(Z41)*SIN(Z42) -(1+COS(Z41))*(1+COS(Z42)) )^2   )*AA41</f>
        <v>2.5003851727045121E-3</v>
      </c>
    </row>
    <row r="43" spans="1:37" ht="13.2">
      <c r="C43" s="1">
        <f t="shared" si="58"/>
        <v>20</v>
      </c>
      <c r="D43" s="1">
        <v>4548</v>
      </c>
      <c r="E43" s="80">
        <f t="shared" si="54"/>
        <v>67</v>
      </c>
      <c r="F43" s="1">
        <v>4831</v>
      </c>
      <c r="G43" s="80">
        <f t="shared" si="55"/>
        <v>70</v>
      </c>
      <c r="H43" s="1">
        <v>413</v>
      </c>
      <c r="I43" s="80">
        <f t="shared" si="56"/>
        <v>20</v>
      </c>
      <c r="O43" s="1" t="s">
        <v>208</v>
      </c>
      <c r="Z43" s="56" t="s">
        <v>117</v>
      </c>
      <c r="AA43" s="57">
        <v>2</v>
      </c>
      <c r="AB43" s="1" t="s">
        <v>95</v>
      </c>
      <c r="AC43" s="1">
        <f t="shared" ref="AC43:AD43" si="65">ROUND(AC41,$AA43)</f>
        <v>-2.31</v>
      </c>
      <c r="AD43" s="1">
        <f t="shared" si="65"/>
        <v>0.17</v>
      </c>
      <c r="AE43" s="45">
        <v>-2</v>
      </c>
      <c r="AF43" s="1" t="s">
        <v>192</v>
      </c>
      <c r="AG43" s="43">
        <f t="shared" ref="AG43:AG44" si="66">ABS(1 - AC43/AE43)*100</f>
        <v>15.500000000000004</v>
      </c>
      <c r="AH43" s="1" t="s">
        <v>193</v>
      </c>
      <c r="AI43" s="43">
        <f t="shared" ref="AI43:AI44" si="67">AD43/ABS(AC43)*100</f>
        <v>7.3593073593073601</v>
      </c>
      <c r="AJ43" s="1" t="s">
        <v>87</v>
      </c>
      <c r="AK43" s="1" t="b">
        <f t="shared" ref="AK43:AK44" si="68">(AI43&lt;AG43)</f>
        <v>1</v>
      </c>
    </row>
    <row r="44" spans="1:37" ht="13.2">
      <c r="C44" s="1">
        <f t="shared" si="58"/>
        <v>25</v>
      </c>
      <c r="D44" s="1">
        <v>4615</v>
      </c>
      <c r="E44" s="80">
        <f t="shared" si="54"/>
        <v>68</v>
      </c>
      <c r="F44" s="1">
        <v>4721</v>
      </c>
      <c r="G44" s="80">
        <f t="shared" si="55"/>
        <v>69</v>
      </c>
      <c r="H44" s="1">
        <v>277</v>
      </c>
      <c r="I44" s="80">
        <f t="shared" si="56"/>
        <v>17</v>
      </c>
      <c r="O44" s="1" t="s">
        <v>194</v>
      </c>
      <c r="AA44" s="1">
        <v>3</v>
      </c>
      <c r="AB44" s="1" t="s">
        <v>141</v>
      </c>
      <c r="AC44" s="1">
        <f t="shared" ref="AC44:AD44" si="69">ROUND(AC42,$AA44)</f>
        <v>0.96799999999999997</v>
      </c>
      <c r="AD44" s="47">
        <f t="shared" si="69"/>
        <v>0.09</v>
      </c>
      <c r="AE44" s="45">
        <v>1</v>
      </c>
      <c r="AG44" s="36">
        <f t="shared" si="66"/>
        <v>3.2000000000000028</v>
      </c>
      <c r="AH44" s="1" t="s">
        <v>87</v>
      </c>
      <c r="AI44" s="43">
        <f t="shared" si="67"/>
        <v>9.2975206611570247</v>
      </c>
      <c r="AJ44" s="1" t="s">
        <v>87</v>
      </c>
      <c r="AK44" s="1" t="b">
        <f t="shared" si="68"/>
        <v>0</v>
      </c>
    </row>
    <row r="45" spans="1:37" ht="13.2">
      <c r="C45" s="1">
        <f t="shared" si="58"/>
        <v>30</v>
      </c>
      <c r="D45" s="1">
        <v>4449</v>
      </c>
      <c r="E45" s="80">
        <f t="shared" si="54"/>
        <v>67</v>
      </c>
      <c r="F45" s="1">
        <v>4828</v>
      </c>
      <c r="G45" s="80">
        <f t="shared" si="55"/>
        <v>69</v>
      </c>
      <c r="H45" s="1">
        <v>113</v>
      </c>
      <c r="I45" s="80">
        <f t="shared" si="56"/>
        <v>11</v>
      </c>
      <c r="O45" s="1" t="s">
        <v>209</v>
      </c>
      <c r="T45" s="1" t="s">
        <v>196</v>
      </c>
      <c r="W45" s="1" t="s">
        <v>183</v>
      </c>
      <c r="X45" s="1" t="s">
        <v>184</v>
      </c>
    </row>
    <row r="46" spans="1:37" ht="13.2">
      <c r="A46" s="21" t="s">
        <v>99</v>
      </c>
      <c r="B46" s="21">
        <v>45</v>
      </c>
      <c r="C46" s="15" t="s">
        <v>38</v>
      </c>
      <c r="D46" s="15" t="s">
        <v>47</v>
      </c>
      <c r="E46" s="15" t="s">
        <v>44</v>
      </c>
      <c r="F46" s="15" t="s">
        <v>48</v>
      </c>
      <c r="G46" s="15" t="s">
        <v>44</v>
      </c>
      <c r="H46" s="15" t="s">
        <v>49</v>
      </c>
      <c r="I46" s="15" t="s">
        <v>44</v>
      </c>
      <c r="O46" s="1" t="s">
        <v>210</v>
      </c>
      <c r="S46" s="1" t="s">
        <v>182</v>
      </c>
      <c r="T46" s="1" t="s">
        <v>186</v>
      </c>
      <c r="U46" s="1">
        <v>8.8946100000000001</v>
      </c>
      <c r="V46" s="1">
        <v>0.39141399999999998</v>
      </c>
      <c r="W46" s="1">
        <v>2</v>
      </c>
      <c r="X46" s="82">
        <f t="shared" ref="X46:X47" si="70">ROUND(U46,W46)</f>
        <v>8.89</v>
      </c>
      <c r="Y46" s="28">
        <f t="shared" ref="Y46:Y47" si="71">ROUND(V46,W46)</f>
        <v>0.39</v>
      </c>
      <c r="Z46" s="1">
        <f t="shared" ref="Z46:AA46" si="72">X46*PI()/180</f>
        <v>0.1551597705022959</v>
      </c>
      <c r="AA46" s="1">
        <f t="shared" si="72"/>
        <v>6.806784082777885E-3</v>
      </c>
      <c r="AB46" s="1" t="s">
        <v>187</v>
      </c>
      <c r="AC46" s="1">
        <f>-$U$22*SIN(Z46)*(1+SIN(Z47) +COS(Z47))/(SIN(Z47)*SIN(Z46) -(1+COS(Z47))*(1+COS(Z46)) )</f>
        <v>0.95004742558431532</v>
      </c>
      <c r="AD46" s="1">
        <f t="shared" ref="AD46:AD47" si="73">AF46+AG46+AH46</f>
        <v>0.10081824439380734</v>
      </c>
      <c r="AF46" s="1">
        <f>ABS(SIN(Z46)*(1+SIN(Z47) +COS(Z47))/(SIN(Z47)*SIN(Z46) -(1+COS(Z47))*(1+COS(Z46)) ) ) *$V$22</f>
        <v>5.4402157051615808E-2</v>
      </c>
      <c r="AG46" s="1">
        <f>ABS($U$22*(1+SIN(Z47) +COS(Z47)) *    ( COS(Z46)*(SIN(Z47)*SIN(Z46) -(1+COS(Z47))*(1+COS(Z46)) ) -SIN(Z46)*(SIN(Z47)*COS(Z46) +(1+COS(Z47))*SIN(Z46) )  )/   (SIN(Z47)*SIN(Z46) -(1+COS(Z47))*(1+COS(Z46)) )^2 )*AA46</f>
        <v>4.1403506508208315E-2</v>
      </c>
      <c r="AH46" s="1">
        <f>ABS(  $U$22*SIN(Z46)*  (   (COS(Z47) -SIN(Z47))*(SIN(Z47)*SIN(Z46) -(1+COS(Z47))*(1+COS(Z46)) ) -(1+SIN(Z47) +COS(Z47))*(COS(Z47)*SIN(Z46) +SIN(Z47)*(1+COS(Z46)) )  ) / (SIN(Z47)*SIN(Z46) -(1+COS(Z47))*(1+COS(Z46)) )^2   )*AA47</f>
        <v>5.0125808339832184E-3</v>
      </c>
    </row>
    <row r="47" spans="1:37" ht="13.2">
      <c r="C47" s="1">
        <v>-30</v>
      </c>
      <c r="D47" s="1">
        <v>4564</v>
      </c>
      <c r="E47" s="80">
        <f t="shared" ref="E47:E59" si="74">ROUND(SQRT(D47),0)</f>
        <v>68</v>
      </c>
      <c r="F47" s="1">
        <v>4012</v>
      </c>
      <c r="G47" s="80">
        <f t="shared" ref="G47:G59" si="75">ROUND(SQRT(F47),0)</f>
        <v>63</v>
      </c>
      <c r="H47" s="1">
        <v>64</v>
      </c>
      <c r="I47" s="80">
        <f t="shared" ref="I47:I73" si="76">ROUND(SQRT(H47),0)</f>
        <v>8</v>
      </c>
      <c r="O47" s="1" t="s">
        <v>211</v>
      </c>
      <c r="T47" s="1" t="s">
        <v>189</v>
      </c>
      <c r="U47" s="1">
        <v>-15.648300000000001</v>
      </c>
      <c r="V47" s="1">
        <v>0.47772599999999998</v>
      </c>
      <c r="W47" s="1">
        <v>2</v>
      </c>
      <c r="X47" s="82">
        <f t="shared" si="70"/>
        <v>-15.65</v>
      </c>
      <c r="Y47" s="28">
        <f t="shared" si="71"/>
        <v>0.48</v>
      </c>
      <c r="Z47" s="1">
        <f t="shared" ref="Z47:AA47" si="77">X47*PI()/180</f>
        <v>-0.27314402793711257</v>
      </c>
      <c r="AA47" s="1">
        <f t="shared" si="77"/>
        <v>8.377580409572781E-3</v>
      </c>
      <c r="AB47" s="1" t="s">
        <v>190</v>
      </c>
      <c r="AC47" s="1">
        <f>-$U$22*SIN(Z47)*(1+SIN(Z46) +COS(Z46))/(SIN(Z47)*SIN(Z46) -(1+COS(Z47))*(1+COS(Z46)) )</f>
        <v>-2.0985245500010006</v>
      </c>
      <c r="AD47" s="1">
        <f t="shared" si="73"/>
        <v>0.19033907400649325</v>
      </c>
      <c r="AF47" s="1">
        <f>ABS(SIN(Z47)*(1+SIN(Z46) +COS(Z46))/(SIN(Z46)*SIN(Z47) -(1+COS(Z46))*(1+COS(Z47)) ) ) *$V$22</f>
        <v>0.12016690858944279</v>
      </c>
      <c r="AG47" s="1">
        <f>ABS($U$22*(1+SIN(Z46) +COS(Z46)) *    ( COS(Z47)*(SIN(Z46)*SIN(Z47) -(1+COS(Z46))*(1+COS(Z47)) ) -SIN(Z47)*(SIN(Z46)*COS(Z47) +(1+COS(Z46))*SIN(Z47) )  )/   (SIN(Z46)*SIN(Z47) -(1+COS(Z46))*(1+COS(Z47)) )^2 )*AA47</f>
        <v>6.4482184735128872E-2</v>
      </c>
      <c r="AH47" s="1">
        <f>ABS(  $U$22*SIN(Z47)*  (   (COS(Z46) -SIN(Z46))*(SIN(Z46)*SIN(Z47) -(1+COS(Z46))*(1+COS(Z47)) ) -(1+SIN(Z46) +COS(Z46))*(COS(Z46)*SIN(Z47) +SIN(Z46)*(1+COS(Z47)) )  ) / (SIN(Z46)*SIN(Z47) -(1+COS(Z46))*(1+COS(Z47)) )^2   )*AA46</f>
        <v>5.6899806819215963E-3</v>
      </c>
    </row>
    <row r="48" spans="1:37" ht="13.2">
      <c r="C48" s="1">
        <f t="shared" ref="C48:C59" si="78">C47+5</f>
        <v>-25</v>
      </c>
      <c r="D48" s="1">
        <v>4585</v>
      </c>
      <c r="E48" s="80">
        <f t="shared" si="74"/>
        <v>68</v>
      </c>
      <c r="F48" s="1">
        <v>4052</v>
      </c>
      <c r="G48" s="80">
        <f t="shared" si="75"/>
        <v>64</v>
      </c>
      <c r="H48" s="1">
        <v>114</v>
      </c>
      <c r="I48" s="80">
        <f t="shared" si="76"/>
        <v>11</v>
      </c>
      <c r="O48" s="1" t="s">
        <v>212</v>
      </c>
      <c r="S48" s="1" t="s">
        <v>182</v>
      </c>
      <c r="Z48" s="56" t="s">
        <v>117</v>
      </c>
      <c r="AA48" s="57">
        <v>2</v>
      </c>
      <c r="AB48" s="1" t="s">
        <v>95</v>
      </c>
      <c r="AC48" s="1">
        <f t="shared" ref="AC48:AD48" si="79">ROUND(AC46,$AA48)</f>
        <v>0.95</v>
      </c>
      <c r="AD48" s="36">
        <f t="shared" si="79"/>
        <v>0.1</v>
      </c>
      <c r="AE48" s="45">
        <v>1</v>
      </c>
      <c r="AF48" s="1" t="s">
        <v>192</v>
      </c>
      <c r="AG48" s="43">
        <f t="shared" ref="AG48:AG49" si="80">ABS(1 - AC48/AE48)*100</f>
        <v>5.0000000000000044</v>
      </c>
      <c r="AH48" s="1" t="s">
        <v>193</v>
      </c>
      <c r="AI48" s="83">
        <f t="shared" ref="AI48:AI49" si="81">AD48/ABS(AC48)*100</f>
        <v>10.526315789473685</v>
      </c>
      <c r="AJ48" s="1" t="s">
        <v>87</v>
      </c>
      <c r="AK48" s="1" t="b">
        <f t="shared" ref="AK48:AK49" si="82">(AI48&lt;AG48)</f>
        <v>0</v>
      </c>
    </row>
    <row r="49" spans="1:37" ht="13.2">
      <c r="C49" s="1">
        <f t="shared" si="78"/>
        <v>-20</v>
      </c>
      <c r="D49" s="1">
        <v>4698</v>
      </c>
      <c r="E49" s="80">
        <f t="shared" si="74"/>
        <v>69</v>
      </c>
      <c r="F49" s="1">
        <v>4000</v>
      </c>
      <c r="G49" s="80">
        <f t="shared" si="75"/>
        <v>63</v>
      </c>
      <c r="H49" s="1">
        <v>209</v>
      </c>
      <c r="I49" s="80">
        <f t="shared" si="76"/>
        <v>14</v>
      </c>
      <c r="O49" s="1" t="s">
        <v>213</v>
      </c>
      <c r="U49" s="57"/>
      <c r="V49" s="57"/>
      <c r="AA49" s="1">
        <v>2</v>
      </c>
      <c r="AB49" s="1" t="s">
        <v>141</v>
      </c>
      <c r="AC49" s="36">
        <f t="shared" ref="AC49:AD49" si="83">ROUND(AC47,$AA49)</f>
        <v>-2.1</v>
      </c>
      <c r="AD49" s="1">
        <f t="shared" si="83"/>
        <v>0.19</v>
      </c>
      <c r="AE49" s="45">
        <v>-2</v>
      </c>
      <c r="AG49" s="43">
        <f t="shared" si="80"/>
        <v>5.0000000000000044</v>
      </c>
      <c r="AH49" s="1" t="s">
        <v>87</v>
      </c>
      <c r="AI49" s="43">
        <f t="shared" si="81"/>
        <v>9.0476190476190474</v>
      </c>
      <c r="AJ49" s="1" t="s">
        <v>87</v>
      </c>
      <c r="AK49" s="1" t="b">
        <f t="shared" si="82"/>
        <v>0</v>
      </c>
    </row>
    <row r="50" spans="1:37" ht="13.2">
      <c r="C50" s="1">
        <f t="shared" si="78"/>
        <v>-15</v>
      </c>
      <c r="D50" s="1">
        <v>4663</v>
      </c>
      <c r="E50" s="80">
        <f t="shared" si="74"/>
        <v>68</v>
      </c>
      <c r="F50" s="1">
        <v>4200</v>
      </c>
      <c r="G50" s="80">
        <f t="shared" si="75"/>
        <v>65</v>
      </c>
      <c r="H50" s="1">
        <v>215</v>
      </c>
      <c r="I50" s="80">
        <f t="shared" si="76"/>
        <v>15</v>
      </c>
      <c r="O50" s="1" t="s">
        <v>214</v>
      </c>
      <c r="U50" s="57"/>
      <c r="V50" s="57"/>
    </row>
    <row r="51" spans="1:37" ht="13.2">
      <c r="C51" s="1">
        <f t="shared" si="78"/>
        <v>-10</v>
      </c>
      <c r="D51" s="1">
        <v>4646</v>
      </c>
      <c r="E51" s="80">
        <f t="shared" si="74"/>
        <v>68</v>
      </c>
      <c r="F51" s="1">
        <v>4169</v>
      </c>
      <c r="G51" s="80">
        <f t="shared" si="75"/>
        <v>65</v>
      </c>
      <c r="H51" s="1">
        <v>117</v>
      </c>
      <c r="I51" s="80">
        <f t="shared" si="76"/>
        <v>11</v>
      </c>
      <c r="O51" s="1" t="s">
        <v>215</v>
      </c>
      <c r="S51" s="1" t="s">
        <v>196</v>
      </c>
    </row>
    <row r="52" spans="1:37" ht="13.2">
      <c r="C52" s="1">
        <f t="shared" si="78"/>
        <v>-5</v>
      </c>
      <c r="D52" s="1">
        <v>4717</v>
      </c>
      <c r="E52" s="80">
        <f t="shared" si="74"/>
        <v>69</v>
      </c>
      <c r="F52" s="1">
        <v>4092</v>
      </c>
      <c r="G52" s="80">
        <f t="shared" si="75"/>
        <v>64</v>
      </c>
      <c r="H52" s="1">
        <v>50</v>
      </c>
      <c r="I52" s="80">
        <f t="shared" si="76"/>
        <v>7</v>
      </c>
      <c r="O52" s="1" t="s">
        <v>216</v>
      </c>
    </row>
    <row r="53" spans="1:37" ht="13.2">
      <c r="C53" s="1">
        <f t="shared" si="78"/>
        <v>0</v>
      </c>
      <c r="D53" s="1">
        <v>4611</v>
      </c>
      <c r="E53" s="80">
        <f t="shared" si="74"/>
        <v>68</v>
      </c>
      <c r="F53" s="1">
        <v>4282</v>
      </c>
      <c r="G53" s="80">
        <f t="shared" si="75"/>
        <v>65</v>
      </c>
      <c r="H53" s="1">
        <v>19</v>
      </c>
      <c r="I53" s="80">
        <f t="shared" si="76"/>
        <v>4</v>
      </c>
      <c r="O53" s="1" t="s">
        <v>217</v>
      </c>
      <c r="S53" s="1" t="s">
        <v>196</v>
      </c>
    </row>
    <row r="54" spans="1:37" ht="13.2">
      <c r="C54" s="1">
        <f t="shared" si="78"/>
        <v>5</v>
      </c>
      <c r="D54" s="1">
        <v>4747</v>
      </c>
      <c r="E54" s="80">
        <f t="shared" si="74"/>
        <v>69</v>
      </c>
      <c r="F54" s="1">
        <v>4356</v>
      </c>
      <c r="G54" s="80">
        <f t="shared" si="75"/>
        <v>66</v>
      </c>
      <c r="H54" s="1">
        <v>66</v>
      </c>
      <c r="I54" s="80">
        <f t="shared" si="76"/>
        <v>8</v>
      </c>
      <c r="O54" s="1" t="s">
        <v>218</v>
      </c>
    </row>
    <row r="55" spans="1:37" ht="13.2">
      <c r="C55" s="1">
        <f t="shared" si="78"/>
        <v>10</v>
      </c>
      <c r="D55" s="1">
        <v>4778</v>
      </c>
      <c r="E55" s="80">
        <f t="shared" si="74"/>
        <v>69</v>
      </c>
      <c r="F55" s="1">
        <v>4256</v>
      </c>
      <c r="G55" s="80">
        <f t="shared" si="75"/>
        <v>65</v>
      </c>
      <c r="H55" s="1">
        <v>200</v>
      </c>
      <c r="I55" s="80">
        <f t="shared" si="76"/>
        <v>14</v>
      </c>
    </row>
    <row r="56" spans="1:37" ht="13.2">
      <c r="C56" s="1">
        <f t="shared" si="78"/>
        <v>15</v>
      </c>
      <c r="D56" s="1">
        <v>4627</v>
      </c>
      <c r="E56" s="80">
        <f t="shared" si="74"/>
        <v>68</v>
      </c>
      <c r="F56" s="1">
        <v>4292</v>
      </c>
      <c r="G56" s="80">
        <f t="shared" si="75"/>
        <v>66</v>
      </c>
      <c r="H56" s="1">
        <v>347</v>
      </c>
      <c r="I56" s="80">
        <f t="shared" si="76"/>
        <v>19</v>
      </c>
    </row>
    <row r="57" spans="1:37" ht="13.2">
      <c r="C57" s="1">
        <f t="shared" si="78"/>
        <v>20</v>
      </c>
      <c r="D57" s="1">
        <v>4694</v>
      </c>
      <c r="E57" s="80">
        <f t="shared" si="74"/>
        <v>69</v>
      </c>
      <c r="F57" s="1">
        <v>4422</v>
      </c>
      <c r="G57" s="80">
        <f t="shared" si="75"/>
        <v>66</v>
      </c>
      <c r="H57" s="1">
        <v>423</v>
      </c>
      <c r="I57" s="80">
        <f t="shared" si="76"/>
        <v>21</v>
      </c>
    </row>
    <row r="58" spans="1:37" ht="13.2">
      <c r="C58" s="1">
        <f t="shared" si="78"/>
        <v>25</v>
      </c>
      <c r="D58" s="1">
        <v>4618</v>
      </c>
      <c r="E58" s="80">
        <f t="shared" si="74"/>
        <v>68</v>
      </c>
      <c r="F58" s="1">
        <v>4400</v>
      </c>
      <c r="G58" s="80">
        <f t="shared" si="75"/>
        <v>66</v>
      </c>
      <c r="H58" s="1">
        <v>318</v>
      </c>
      <c r="I58" s="80">
        <f t="shared" si="76"/>
        <v>18</v>
      </c>
    </row>
    <row r="59" spans="1:37" ht="13.2">
      <c r="C59" s="1">
        <f t="shared" si="78"/>
        <v>30</v>
      </c>
      <c r="D59" s="1">
        <v>4568</v>
      </c>
      <c r="E59" s="80">
        <f t="shared" si="74"/>
        <v>68</v>
      </c>
      <c r="F59" s="1">
        <v>4481</v>
      </c>
      <c r="G59" s="80">
        <f t="shared" si="75"/>
        <v>67</v>
      </c>
      <c r="H59" s="1">
        <v>123</v>
      </c>
      <c r="I59" s="80">
        <f t="shared" si="76"/>
        <v>11</v>
      </c>
    </row>
    <row r="60" spans="1:37" ht="13.2">
      <c r="A60" s="21" t="s">
        <v>99</v>
      </c>
      <c r="B60" s="21">
        <v>60</v>
      </c>
      <c r="C60" s="15" t="s">
        <v>38</v>
      </c>
      <c r="D60" s="15" t="s">
        <v>47</v>
      </c>
      <c r="E60" s="15" t="s">
        <v>44</v>
      </c>
      <c r="F60" s="15" t="s">
        <v>48</v>
      </c>
      <c r="G60" s="15" t="s">
        <v>44</v>
      </c>
      <c r="H60" s="15" t="s">
        <v>49</v>
      </c>
      <c r="I60" s="80" t="e">
        <f t="shared" si="76"/>
        <v>#VALUE!</v>
      </c>
    </row>
    <row r="61" spans="1:37" ht="13.2">
      <c r="C61" s="1">
        <v>-30</v>
      </c>
      <c r="D61" s="1">
        <v>4817</v>
      </c>
      <c r="E61" s="80">
        <f t="shared" ref="E61:E73" si="84">ROUND(SQRT(D61),0)</f>
        <v>69</v>
      </c>
      <c r="F61" s="1">
        <v>4185</v>
      </c>
      <c r="G61" s="80">
        <f t="shared" ref="G61:G73" si="85">ROUND(SQRT(F61),0)</f>
        <v>65</v>
      </c>
      <c r="H61" s="1">
        <v>37</v>
      </c>
      <c r="I61" s="80">
        <f t="shared" si="76"/>
        <v>6</v>
      </c>
    </row>
    <row r="62" spans="1:37" ht="13.2">
      <c r="C62" s="1">
        <f t="shared" ref="C62:C73" si="86">C61+5</f>
        <v>-25</v>
      </c>
      <c r="D62" s="1">
        <v>4810</v>
      </c>
      <c r="E62" s="80">
        <f t="shared" si="84"/>
        <v>69</v>
      </c>
      <c r="F62" s="1">
        <v>4211</v>
      </c>
      <c r="G62" s="80">
        <f t="shared" si="85"/>
        <v>65</v>
      </c>
      <c r="H62" s="1">
        <v>129</v>
      </c>
      <c r="I62" s="80">
        <f t="shared" si="76"/>
        <v>11</v>
      </c>
    </row>
    <row r="63" spans="1:37" ht="13.2">
      <c r="C63" s="1">
        <f t="shared" si="86"/>
        <v>-20</v>
      </c>
      <c r="D63" s="1">
        <v>4778</v>
      </c>
      <c r="E63" s="80">
        <f t="shared" si="84"/>
        <v>69</v>
      </c>
      <c r="F63" s="1">
        <v>3970</v>
      </c>
      <c r="G63" s="80">
        <f t="shared" si="85"/>
        <v>63</v>
      </c>
      <c r="H63" s="1">
        <v>208</v>
      </c>
      <c r="I63" s="80">
        <f t="shared" si="76"/>
        <v>14</v>
      </c>
    </row>
    <row r="64" spans="1:37" ht="13.2">
      <c r="C64" s="1">
        <f t="shared" si="86"/>
        <v>-15</v>
      </c>
      <c r="D64" s="1">
        <v>4618</v>
      </c>
      <c r="E64" s="80">
        <f t="shared" si="84"/>
        <v>68</v>
      </c>
      <c r="F64" s="1">
        <v>4203</v>
      </c>
      <c r="G64" s="80">
        <f t="shared" si="85"/>
        <v>65</v>
      </c>
      <c r="H64" s="1">
        <v>185</v>
      </c>
      <c r="I64" s="80">
        <f t="shared" si="76"/>
        <v>14</v>
      </c>
    </row>
    <row r="65" spans="1:9" ht="13.2">
      <c r="C65" s="1">
        <f t="shared" si="86"/>
        <v>-10</v>
      </c>
      <c r="D65" s="1">
        <v>4781</v>
      </c>
      <c r="E65" s="80">
        <f t="shared" si="84"/>
        <v>69</v>
      </c>
      <c r="F65" s="1">
        <v>4065</v>
      </c>
      <c r="G65" s="80">
        <f t="shared" si="85"/>
        <v>64</v>
      </c>
      <c r="H65" s="1">
        <v>116</v>
      </c>
      <c r="I65" s="80">
        <f t="shared" si="76"/>
        <v>11</v>
      </c>
    </row>
    <row r="66" spans="1:9" ht="13.2">
      <c r="C66" s="1">
        <f t="shared" si="86"/>
        <v>-5</v>
      </c>
      <c r="D66" s="1">
        <v>4770</v>
      </c>
      <c r="E66" s="80">
        <f t="shared" si="84"/>
        <v>69</v>
      </c>
      <c r="F66" s="1">
        <v>4186</v>
      </c>
      <c r="G66" s="80">
        <f t="shared" si="85"/>
        <v>65</v>
      </c>
      <c r="H66" s="1">
        <v>48</v>
      </c>
      <c r="I66" s="80">
        <f t="shared" si="76"/>
        <v>7</v>
      </c>
    </row>
    <row r="67" spans="1:9" ht="13.2">
      <c r="C67" s="1">
        <f t="shared" si="86"/>
        <v>0</v>
      </c>
      <c r="D67" s="1">
        <v>4682</v>
      </c>
      <c r="E67" s="80">
        <f t="shared" si="84"/>
        <v>68</v>
      </c>
      <c r="F67" s="1">
        <v>4087</v>
      </c>
      <c r="G67" s="80">
        <f t="shared" si="85"/>
        <v>64</v>
      </c>
      <c r="H67" s="1">
        <v>21</v>
      </c>
      <c r="I67" s="80">
        <f t="shared" si="76"/>
        <v>5</v>
      </c>
    </row>
    <row r="68" spans="1:9" ht="13.2">
      <c r="C68" s="1">
        <f t="shared" si="86"/>
        <v>5</v>
      </c>
      <c r="D68" s="1">
        <v>4814</v>
      </c>
      <c r="E68" s="80">
        <f t="shared" si="84"/>
        <v>69</v>
      </c>
      <c r="F68" s="1">
        <v>4122</v>
      </c>
      <c r="G68" s="80">
        <f t="shared" si="85"/>
        <v>64</v>
      </c>
      <c r="H68" s="1">
        <v>110</v>
      </c>
      <c r="I68" s="80">
        <f t="shared" si="76"/>
        <v>10</v>
      </c>
    </row>
    <row r="69" spans="1:9" ht="13.2">
      <c r="C69" s="1">
        <f t="shared" si="86"/>
        <v>10</v>
      </c>
      <c r="D69" s="1">
        <v>4611</v>
      </c>
      <c r="E69" s="80">
        <f t="shared" si="84"/>
        <v>68</v>
      </c>
      <c r="F69" s="1">
        <v>4102</v>
      </c>
      <c r="G69" s="80">
        <f t="shared" si="85"/>
        <v>64</v>
      </c>
      <c r="H69" s="1">
        <v>232</v>
      </c>
      <c r="I69" s="80">
        <f t="shared" si="76"/>
        <v>15</v>
      </c>
    </row>
    <row r="70" spans="1:9" ht="13.2">
      <c r="C70" s="1">
        <f t="shared" si="86"/>
        <v>15</v>
      </c>
      <c r="D70" s="1">
        <v>4753</v>
      </c>
      <c r="E70" s="80">
        <f t="shared" si="84"/>
        <v>69</v>
      </c>
      <c r="F70" s="1">
        <v>4225</v>
      </c>
      <c r="G70" s="80">
        <f t="shared" si="85"/>
        <v>65</v>
      </c>
      <c r="H70" s="1">
        <v>436</v>
      </c>
      <c r="I70" s="80">
        <f t="shared" si="76"/>
        <v>21</v>
      </c>
    </row>
    <row r="71" spans="1:9" ht="13.2">
      <c r="C71" s="1">
        <f t="shared" si="86"/>
        <v>20</v>
      </c>
      <c r="D71" s="1">
        <v>4634</v>
      </c>
      <c r="E71" s="80">
        <f t="shared" si="84"/>
        <v>68</v>
      </c>
      <c r="F71" s="1">
        <v>4111</v>
      </c>
      <c r="G71" s="80">
        <f t="shared" si="85"/>
        <v>64</v>
      </c>
      <c r="H71" s="1">
        <v>372</v>
      </c>
      <c r="I71" s="80">
        <f t="shared" si="76"/>
        <v>19</v>
      </c>
    </row>
    <row r="72" spans="1:9" ht="13.2">
      <c r="C72" s="1">
        <f t="shared" si="86"/>
        <v>25</v>
      </c>
      <c r="D72" s="1">
        <v>4955</v>
      </c>
      <c r="E72" s="80">
        <f t="shared" si="84"/>
        <v>70</v>
      </c>
      <c r="F72" s="1">
        <v>4317</v>
      </c>
      <c r="G72" s="80">
        <f t="shared" si="85"/>
        <v>66</v>
      </c>
      <c r="H72" s="1">
        <v>248</v>
      </c>
      <c r="I72" s="80">
        <f t="shared" si="76"/>
        <v>16</v>
      </c>
    </row>
    <row r="73" spans="1:9" ht="13.2">
      <c r="C73" s="1">
        <f t="shared" si="86"/>
        <v>30</v>
      </c>
      <c r="D73" s="1">
        <v>4702</v>
      </c>
      <c r="E73" s="80">
        <f t="shared" si="84"/>
        <v>69</v>
      </c>
      <c r="F73" s="1">
        <v>4336</v>
      </c>
      <c r="G73" s="80">
        <f t="shared" si="85"/>
        <v>66</v>
      </c>
      <c r="H73" s="1">
        <v>102</v>
      </c>
      <c r="I73" s="80">
        <f t="shared" si="76"/>
        <v>10</v>
      </c>
    </row>
    <row r="74" spans="1:9" ht="13.2">
      <c r="A74" s="21" t="s">
        <v>99</v>
      </c>
      <c r="B74" s="21">
        <v>75</v>
      </c>
      <c r="C74" s="15" t="s">
        <v>38</v>
      </c>
      <c r="D74" s="15" t="s">
        <v>47</v>
      </c>
      <c r="E74" s="15" t="s">
        <v>44</v>
      </c>
      <c r="F74" s="15" t="s">
        <v>48</v>
      </c>
      <c r="G74" s="15" t="s">
        <v>44</v>
      </c>
      <c r="H74" s="15" t="s">
        <v>49</v>
      </c>
      <c r="I74" s="15" t="s">
        <v>44</v>
      </c>
    </row>
    <row r="75" spans="1:9" ht="13.2">
      <c r="C75" s="1">
        <v>-30</v>
      </c>
      <c r="D75" s="1">
        <v>4873</v>
      </c>
      <c r="E75" s="80">
        <f t="shared" ref="E75:E87" si="87">ROUND(SQRT(D75),0)</f>
        <v>70</v>
      </c>
      <c r="F75" s="1">
        <v>4350</v>
      </c>
      <c r="G75" s="80">
        <f t="shared" ref="G75:G87" si="88">ROUND(SQRT(F75),0)</f>
        <v>66</v>
      </c>
      <c r="H75" s="1">
        <v>26</v>
      </c>
      <c r="I75" s="80">
        <f t="shared" ref="I75:I87" si="89">ROUND(SQRT(H75),0)</f>
        <v>5</v>
      </c>
    </row>
    <row r="76" spans="1:9" ht="13.2">
      <c r="C76" s="1">
        <f t="shared" ref="C76:C87" si="90">C75+5</f>
        <v>-25</v>
      </c>
      <c r="D76" s="1">
        <v>4852</v>
      </c>
      <c r="E76" s="80">
        <f t="shared" si="87"/>
        <v>70</v>
      </c>
      <c r="F76" s="1">
        <v>4374</v>
      </c>
      <c r="G76" s="80">
        <f t="shared" si="88"/>
        <v>66</v>
      </c>
      <c r="H76" s="1">
        <v>106</v>
      </c>
      <c r="I76" s="80">
        <f t="shared" si="89"/>
        <v>10</v>
      </c>
    </row>
    <row r="77" spans="1:9" ht="13.2">
      <c r="C77" s="1">
        <f t="shared" si="90"/>
        <v>-20</v>
      </c>
      <c r="D77" s="1">
        <v>4858</v>
      </c>
      <c r="E77" s="80">
        <f t="shared" si="87"/>
        <v>70</v>
      </c>
      <c r="F77" s="1">
        <v>4198</v>
      </c>
      <c r="G77" s="80">
        <f t="shared" si="88"/>
        <v>65</v>
      </c>
      <c r="H77" s="1">
        <v>199</v>
      </c>
      <c r="I77" s="80">
        <f t="shared" si="89"/>
        <v>14</v>
      </c>
    </row>
    <row r="78" spans="1:9" ht="13.2">
      <c r="C78" s="1">
        <f t="shared" si="90"/>
        <v>-15</v>
      </c>
      <c r="D78" s="1">
        <v>4920</v>
      </c>
      <c r="E78" s="80">
        <f t="shared" si="87"/>
        <v>70</v>
      </c>
      <c r="F78" s="1">
        <v>4202</v>
      </c>
      <c r="G78" s="80">
        <f t="shared" si="88"/>
        <v>65</v>
      </c>
      <c r="H78" s="1">
        <v>215</v>
      </c>
      <c r="I78" s="80">
        <f t="shared" si="89"/>
        <v>15</v>
      </c>
    </row>
    <row r="79" spans="1:9" ht="13.2">
      <c r="C79" s="1">
        <f t="shared" si="90"/>
        <v>-10</v>
      </c>
      <c r="D79" s="1">
        <v>4844</v>
      </c>
      <c r="E79" s="80">
        <f t="shared" si="87"/>
        <v>70</v>
      </c>
      <c r="F79" s="1">
        <v>4152</v>
      </c>
      <c r="G79" s="80">
        <f t="shared" si="88"/>
        <v>64</v>
      </c>
      <c r="H79" s="1">
        <v>132</v>
      </c>
      <c r="I79" s="80">
        <f t="shared" si="89"/>
        <v>11</v>
      </c>
    </row>
    <row r="80" spans="1:9" ht="13.2">
      <c r="C80" s="1">
        <f t="shared" si="90"/>
        <v>-5</v>
      </c>
      <c r="D80" s="1">
        <v>4876</v>
      </c>
      <c r="E80" s="80">
        <f t="shared" si="87"/>
        <v>70</v>
      </c>
      <c r="F80" s="1">
        <v>4029</v>
      </c>
      <c r="G80" s="80">
        <f t="shared" si="88"/>
        <v>63</v>
      </c>
      <c r="H80" s="1">
        <v>46</v>
      </c>
      <c r="I80" s="80">
        <f t="shared" si="89"/>
        <v>7</v>
      </c>
    </row>
    <row r="81" spans="1:9" ht="13.2">
      <c r="C81" s="1">
        <f t="shared" si="90"/>
        <v>0</v>
      </c>
      <c r="D81" s="1">
        <v>4930</v>
      </c>
      <c r="E81" s="80">
        <f t="shared" si="87"/>
        <v>70</v>
      </c>
      <c r="F81" s="1">
        <v>4005</v>
      </c>
      <c r="G81" s="80">
        <f t="shared" si="88"/>
        <v>63</v>
      </c>
      <c r="H81" s="1">
        <v>79</v>
      </c>
      <c r="I81" s="80">
        <f t="shared" si="89"/>
        <v>9</v>
      </c>
    </row>
    <row r="82" spans="1:9" ht="13.2">
      <c r="C82" s="1">
        <f t="shared" si="90"/>
        <v>5</v>
      </c>
      <c r="D82" s="1">
        <v>4924</v>
      </c>
      <c r="E82" s="80">
        <f t="shared" si="87"/>
        <v>70</v>
      </c>
      <c r="F82" s="1">
        <v>4059</v>
      </c>
      <c r="G82" s="80">
        <f t="shared" si="88"/>
        <v>64</v>
      </c>
      <c r="H82" s="1">
        <v>205</v>
      </c>
      <c r="I82" s="80">
        <f t="shared" si="89"/>
        <v>14</v>
      </c>
    </row>
    <row r="83" spans="1:9" ht="13.2">
      <c r="C83" s="1">
        <f t="shared" si="90"/>
        <v>10</v>
      </c>
      <c r="D83" s="1">
        <v>4944</v>
      </c>
      <c r="E83" s="80">
        <f t="shared" si="87"/>
        <v>70</v>
      </c>
      <c r="F83" s="1">
        <v>4040</v>
      </c>
      <c r="G83" s="80">
        <f t="shared" si="88"/>
        <v>64</v>
      </c>
      <c r="H83" s="1">
        <v>325</v>
      </c>
      <c r="I83" s="80">
        <f t="shared" si="89"/>
        <v>18</v>
      </c>
    </row>
    <row r="84" spans="1:9" ht="13.2">
      <c r="C84" s="1">
        <f t="shared" si="90"/>
        <v>15</v>
      </c>
      <c r="D84" s="1">
        <v>4912</v>
      </c>
      <c r="E84" s="80">
        <f t="shared" si="87"/>
        <v>70</v>
      </c>
      <c r="F84" s="1">
        <v>4012</v>
      </c>
      <c r="G84" s="80">
        <f t="shared" si="88"/>
        <v>63</v>
      </c>
      <c r="H84" s="1">
        <v>378</v>
      </c>
      <c r="I84" s="80">
        <f t="shared" si="89"/>
        <v>19</v>
      </c>
    </row>
    <row r="85" spans="1:9" ht="13.2">
      <c r="C85" s="1">
        <f t="shared" si="90"/>
        <v>20</v>
      </c>
      <c r="D85" s="1">
        <v>4898</v>
      </c>
      <c r="E85" s="80">
        <f t="shared" si="87"/>
        <v>70</v>
      </c>
      <c r="F85" s="1">
        <v>4010</v>
      </c>
      <c r="G85" s="80">
        <f t="shared" si="88"/>
        <v>63</v>
      </c>
      <c r="H85" s="1">
        <v>272</v>
      </c>
      <c r="I85" s="80">
        <f t="shared" si="89"/>
        <v>16</v>
      </c>
    </row>
    <row r="86" spans="1:9" ht="13.2">
      <c r="C86" s="1">
        <f t="shared" si="90"/>
        <v>25</v>
      </c>
      <c r="D86" s="1">
        <v>4993</v>
      </c>
      <c r="E86" s="80">
        <f t="shared" si="87"/>
        <v>71</v>
      </c>
      <c r="F86" s="1">
        <v>4092</v>
      </c>
      <c r="G86" s="80">
        <f t="shared" si="88"/>
        <v>64</v>
      </c>
      <c r="H86" s="1">
        <v>164</v>
      </c>
      <c r="I86" s="80">
        <f t="shared" si="89"/>
        <v>13</v>
      </c>
    </row>
    <row r="87" spans="1:9" ht="13.2">
      <c r="C87" s="1">
        <f t="shared" si="90"/>
        <v>30</v>
      </c>
      <c r="D87" s="1">
        <v>4914</v>
      </c>
      <c r="E87" s="80">
        <f t="shared" si="87"/>
        <v>70</v>
      </c>
      <c r="F87" s="1">
        <v>4129</v>
      </c>
      <c r="G87" s="80">
        <f t="shared" si="88"/>
        <v>64</v>
      </c>
      <c r="H87" s="1">
        <v>48</v>
      </c>
      <c r="I87" s="80">
        <f t="shared" si="89"/>
        <v>7</v>
      </c>
    </row>
    <row r="88" spans="1:9" ht="13.2">
      <c r="A88" s="21" t="s">
        <v>99</v>
      </c>
      <c r="B88" s="21">
        <v>90</v>
      </c>
      <c r="C88" s="15" t="s">
        <v>38</v>
      </c>
      <c r="D88" s="15" t="s">
        <v>47</v>
      </c>
      <c r="E88" s="15" t="s">
        <v>44</v>
      </c>
      <c r="F88" s="15" t="s">
        <v>48</v>
      </c>
      <c r="G88" s="15" t="s">
        <v>44</v>
      </c>
      <c r="H88" s="15" t="s">
        <v>49</v>
      </c>
      <c r="I88" s="15" t="s">
        <v>44</v>
      </c>
    </row>
    <row r="89" spans="1:9" ht="13.2">
      <c r="C89" s="1">
        <v>-30</v>
      </c>
      <c r="D89" s="1">
        <v>5145</v>
      </c>
      <c r="E89" s="80">
        <f t="shared" ref="E89:E101" si="91">ROUND(SQRT(D89),0)</f>
        <v>72</v>
      </c>
      <c r="F89" s="1">
        <v>4421</v>
      </c>
      <c r="G89" s="80">
        <f t="shared" ref="G89:G101" si="92">ROUND(SQRT(F89),0)</f>
        <v>66</v>
      </c>
      <c r="H89" s="1">
        <v>15</v>
      </c>
      <c r="I89" s="80">
        <f t="shared" ref="I89:I101" si="93">ROUND(SQRT(H89),0)</f>
        <v>4</v>
      </c>
    </row>
    <row r="90" spans="1:9" ht="13.2">
      <c r="C90" s="1">
        <f t="shared" ref="C90:C101" si="94">C89+5</f>
        <v>-25</v>
      </c>
      <c r="D90" s="1">
        <v>4996</v>
      </c>
      <c r="E90" s="80">
        <f t="shared" si="91"/>
        <v>71</v>
      </c>
      <c r="F90" s="1">
        <v>4263</v>
      </c>
      <c r="G90" s="80">
        <f t="shared" si="92"/>
        <v>65</v>
      </c>
      <c r="H90" s="1">
        <v>59</v>
      </c>
      <c r="I90" s="80">
        <f t="shared" si="93"/>
        <v>8</v>
      </c>
    </row>
    <row r="91" spans="1:9" ht="13.2">
      <c r="C91" s="1">
        <f t="shared" si="94"/>
        <v>-20</v>
      </c>
      <c r="D91" s="1">
        <v>5037</v>
      </c>
      <c r="E91" s="80">
        <f t="shared" si="91"/>
        <v>71</v>
      </c>
      <c r="F91" s="1">
        <v>4255</v>
      </c>
      <c r="G91" s="80">
        <f t="shared" si="92"/>
        <v>65</v>
      </c>
      <c r="H91" s="1">
        <v>142</v>
      </c>
      <c r="I91" s="80">
        <f t="shared" si="93"/>
        <v>12</v>
      </c>
    </row>
    <row r="92" spans="1:9" ht="13.2">
      <c r="C92" s="1">
        <f t="shared" si="94"/>
        <v>-15</v>
      </c>
      <c r="D92" s="1">
        <v>5058</v>
      </c>
      <c r="E92" s="80">
        <f t="shared" si="91"/>
        <v>71</v>
      </c>
      <c r="F92" s="1">
        <v>4351</v>
      </c>
      <c r="G92" s="80">
        <f t="shared" si="92"/>
        <v>66</v>
      </c>
      <c r="H92" s="1">
        <v>204</v>
      </c>
      <c r="I92" s="80">
        <f t="shared" si="93"/>
        <v>14</v>
      </c>
    </row>
    <row r="93" spans="1:9" ht="13.2">
      <c r="C93" s="1">
        <f t="shared" si="94"/>
        <v>-10</v>
      </c>
      <c r="D93" s="1">
        <v>4994</v>
      </c>
      <c r="E93" s="80">
        <f t="shared" si="91"/>
        <v>71</v>
      </c>
      <c r="F93" s="1">
        <v>4267</v>
      </c>
      <c r="G93" s="80">
        <f t="shared" si="92"/>
        <v>65</v>
      </c>
      <c r="H93" s="1">
        <v>162</v>
      </c>
      <c r="I93" s="80">
        <f t="shared" si="93"/>
        <v>13</v>
      </c>
    </row>
    <row r="94" spans="1:9" ht="13.2">
      <c r="C94" s="1">
        <f t="shared" si="94"/>
        <v>-5</v>
      </c>
      <c r="D94" s="1">
        <v>5070</v>
      </c>
      <c r="E94" s="80">
        <f t="shared" si="91"/>
        <v>71</v>
      </c>
      <c r="F94" s="1">
        <v>4147</v>
      </c>
      <c r="G94" s="80">
        <f t="shared" si="92"/>
        <v>64</v>
      </c>
      <c r="H94" s="1">
        <v>138</v>
      </c>
      <c r="I94" s="80">
        <f t="shared" si="93"/>
        <v>12</v>
      </c>
    </row>
    <row r="95" spans="1:9" ht="13.2">
      <c r="C95" s="1">
        <f t="shared" si="94"/>
        <v>0</v>
      </c>
      <c r="D95" s="1">
        <v>5057</v>
      </c>
      <c r="E95" s="80">
        <f t="shared" si="91"/>
        <v>71</v>
      </c>
      <c r="F95" s="1">
        <v>4167</v>
      </c>
      <c r="G95" s="80">
        <f t="shared" si="92"/>
        <v>65</v>
      </c>
      <c r="H95" s="1">
        <v>184</v>
      </c>
      <c r="I95" s="80">
        <f t="shared" si="93"/>
        <v>14</v>
      </c>
    </row>
    <row r="96" spans="1:9" ht="13.2">
      <c r="C96" s="1">
        <f t="shared" si="94"/>
        <v>5</v>
      </c>
      <c r="D96" s="1">
        <v>5142</v>
      </c>
      <c r="E96" s="80">
        <f t="shared" si="91"/>
        <v>72</v>
      </c>
      <c r="F96" s="1">
        <v>4164</v>
      </c>
      <c r="G96" s="80">
        <f t="shared" si="92"/>
        <v>65</v>
      </c>
      <c r="H96" s="1">
        <v>307</v>
      </c>
      <c r="I96" s="80">
        <f t="shared" si="93"/>
        <v>18</v>
      </c>
    </row>
    <row r="97" spans="1:9" ht="13.2">
      <c r="C97" s="1">
        <f t="shared" si="94"/>
        <v>10</v>
      </c>
      <c r="D97" s="1">
        <v>5055</v>
      </c>
      <c r="E97" s="80">
        <f t="shared" si="91"/>
        <v>71</v>
      </c>
      <c r="F97" s="1">
        <v>4103</v>
      </c>
      <c r="G97" s="80">
        <f t="shared" si="92"/>
        <v>64</v>
      </c>
      <c r="H97" s="1">
        <v>395</v>
      </c>
      <c r="I97" s="80">
        <f t="shared" si="93"/>
        <v>20</v>
      </c>
    </row>
    <row r="98" spans="1:9" ht="13.2">
      <c r="C98" s="1">
        <f t="shared" si="94"/>
        <v>15</v>
      </c>
      <c r="D98" s="1">
        <v>5065</v>
      </c>
      <c r="E98" s="80">
        <f t="shared" si="91"/>
        <v>71</v>
      </c>
      <c r="F98" s="1">
        <v>3950</v>
      </c>
      <c r="G98" s="80">
        <f t="shared" si="92"/>
        <v>63</v>
      </c>
      <c r="H98" s="1">
        <v>317</v>
      </c>
      <c r="I98" s="80">
        <f t="shared" si="93"/>
        <v>18</v>
      </c>
    </row>
    <row r="99" spans="1:9" ht="13.2">
      <c r="C99" s="1">
        <f t="shared" si="94"/>
        <v>20</v>
      </c>
      <c r="D99" s="1">
        <v>5084</v>
      </c>
      <c r="E99" s="80">
        <f t="shared" si="91"/>
        <v>71</v>
      </c>
      <c r="F99" s="1">
        <v>4070</v>
      </c>
      <c r="G99" s="80">
        <f t="shared" si="92"/>
        <v>64</v>
      </c>
      <c r="H99" s="1">
        <v>179</v>
      </c>
      <c r="I99" s="80">
        <f t="shared" si="93"/>
        <v>13</v>
      </c>
    </row>
    <row r="100" spans="1:9" ht="13.2">
      <c r="C100" s="1">
        <f t="shared" si="94"/>
        <v>25</v>
      </c>
      <c r="D100" s="1">
        <v>4990</v>
      </c>
      <c r="E100" s="80">
        <f t="shared" si="91"/>
        <v>71</v>
      </c>
      <c r="F100" s="1">
        <v>4078</v>
      </c>
      <c r="G100" s="80">
        <f t="shared" si="92"/>
        <v>64</v>
      </c>
      <c r="H100" s="1">
        <v>86</v>
      </c>
      <c r="I100" s="80">
        <f t="shared" si="93"/>
        <v>9</v>
      </c>
    </row>
    <row r="101" spans="1:9" ht="13.2">
      <c r="C101" s="1">
        <f t="shared" si="94"/>
        <v>30</v>
      </c>
      <c r="D101" s="1">
        <v>5059</v>
      </c>
      <c r="E101" s="80">
        <f t="shared" si="91"/>
        <v>71</v>
      </c>
      <c r="F101" s="1">
        <v>4078</v>
      </c>
      <c r="G101" s="80">
        <f t="shared" si="92"/>
        <v>64</v>
      </c>
      <c r="H101" s="1">
        <v>15</v>
      </c>
      <c r="I101" s="80">
        <f t="shared" si="93"/>
        <v>4</v>
      </c>
    </row>
    <row r="102" spans="1:9" ht="13.2">
      <c r="A102" s="21" t="s">
        <v>99</v>
      </c>
      <c r="B102" s="21">
        <v>105</v>
      </c>
      <c r="C102" s="15" t="s">
        <v>38</v>
      </c>
      <c r="D102" s="15" t="s">
        <v>47</v>
      </c>
      <c r="E102" s="15" t="s">
        <v>44</v>
      </c>
      <c r="F102" s="15" t="s">
        <v>48</v>
      </c>
      <c r="G102" s="15" t="s">
        <v>44</v>
      </c>
      <c r="H102" s="15" t="s">
        <v>49</v>
      </c>
      <c r="I102" s="15" t="s">
        <v>44</v>
      </c>
    </row>
    <row r="103" spans="1:9" ht="13.2">
      <c r="C103" s="1">
        <v>-30</v>
      </c>
      <c r="D103" s="1">
        <v>5210</v>
      </c>
      <c r="E103" s="80">
        <f t="shared" ref="E103:E115" si="95">ROUND(SQRT(D103),0)</f>
        <v>72</v>
      </c>
      <c r="F103" s="1">
        <v>4366</v>
      </c>
      <c r="G103" s="80">
        <f t="shared" ref="G103:G115" si="96">ROUND(SQRT(F103),0)</f>
        <v>66</v>
      </c>
      <c r="H103" s="1">
        <v>10</v>
      </c>
      <c r="I103" s="80">
        <f t="shared" ref="I103:I115" si="97">ROUND(SQRT(H103),0)</f>
        <v>3</v>
      </c>
    </row>
    <row r="104" spans="1:9" ht="13.2">
      <c r="C104" s="1">
        <f t="shared" ref="C104:C115" si="98">C103+5</f>
        <v>-25</v>
      </c>
      <c r="D104" s="1">
        <v>5130</v>
      </c>
      <c r="E104" s="80">
        <f t="shared" si="95"/>
        <v>72</v>
      </c>
      <c r="F104" s="1">
        <v>4502</v>
      </c>
      <c r="G104" s="80">
        <f t="shared" si="96"/>
        <v>67</v>
      </c>
      <c r="H104" s="1">
        <v>34</v>
      </c>
      <c r="I104" s="80">
        <f t="shared" si="97"/>
        <v>6</v>
      </c>
    </row>
    <row r="105" spans="1:9" ht="13.2">
      <c r="C105" s="1">
        <f t="shared" si="98"/>
        <v>-20</v>
      </c>
      <c r="D105" s="1">
        <v>5129</v>
      </c>
      <c r="E105" s="80">
        <f t="shared" si="95"/>
        <v>72</v>
      </c>
      <c r="F105" s="1">
        <v>4369</v>
      </c>
      <c r="G105" s="80">
        <f t="shared" si="96"/>
        <v>66</v>
      </c>
      <c r="H105" s="1">
        <v>98</v>
      </c>
      <c r="I105" s="80">
        <f t="shared" si="97"/>
        <v>10</v>
      </c>
    </row>
    <row r="106" spans="1:9" ht="13.2">
      <c r="C106" s="1">
        <f t="shared" si="98"/>
        <v>-15</v>
      </c>
      <c r="D106" s="1">
        <v>5218</v>
      </c>
      <c r="E106" s="80">
        <f t="shared" si="95"/>
        <v>72</v>
      </c>
      <c r="F106" s="1">
        <v>4516</v>
      </c>
      <c r="G106" s="80">
        <f t="shared" si="96"/>
        <v>67</v>
      </c>
      <c r="H106" s="1">
        <v>200</v>
      </c>
      <c r="I106" s="80">
        <f t="shared" si="97"/>
        <v>14</v>
      </c>
    </row>
    <row r="107" spans="1:9" ht="13.2">
      <c r="C107" s="1">
        <f t="shared" si="98"/>
        <v>-10</v>
      </c>
      <c r="D107" s="1">
        <v>5076</v>
      </c>
      <c r="E107" s="80">
        <f t="shared" si="95"/>
        <v>71</v>
      </c>
      <c r="F107" s="1">
        <v>4369</v>
      </c>
      <c r="G107" s="80">
        <f t="shared" si="96"/>
        <v>66</v>
      </c>
      <c r="H107" s="1">
        <v>261</v>
      </c>
      <c r="I107" s="80">
        <f t="shared" si="97"/>
        <v>16</v>
      </c>
    </row>
    <row r="108" spans="1:9" ht="13.2">
      <c r="C108" s="1">
        <f t="shared" si="98"/>
        <v>-5</v>
      </c>
      <c r="D108" s="1">
        <v>5196</v>
      </c>
      <c r="E108" s="80">
        <f t="shared" si="95"/>
        <v>72</v>
      </c>
      <c r="F108" s="1">
        <v>4396</v>
      </c>
      <c r="G108" s="80">
        <f t="shared" si="96"/>
        <v>66</v>
      </c>
      <c r="H108" s="1">
        <v>276</v>
      </c>
      <c r="I108" s="80">
        <f t="shared" si="97"/>
        <v>17</v>
      </c>
    </row>
    <row r="109" spans="1:9" ht="13.2">
      <c r="C109" s="1">
        <f t="shared" si="98"/>
        <v>0</v>
      </c>
      <c r="D109" s="1">
        <v>5055</v>
      </c>
      <c r="E109" s="80">
        <f t="shared" si="95"/>
        <v>71</v>
      </c>
      <c r="F109" s="1">
        <v>4367</v>
      </c>
      <c r="G109" s="80">
        <f t="shared" si="96"/>
        <v>66</v>
      </c>
      <c r="H109" s="1">
        <v>348</v>
      </c>
      <c r="I109" s="80">
        <f t="shared" si="97"/>
        <v>19</v>
      </c>
    </row>
    <row r="110" spans="1:9" ht="13.2">
      <c r="C110" s="1">
        <f t="shared" si="98"/>
        <v>5</v>
      </c>
      <c r="D110" s="1">
        <v>5315</v>
      </c>
      <c r="E110" s="80">
        <f t="shared" si="95"/>
        <v>73</v>
      </c>
      <c r="F110" s="1">
        <v>4174</v>
      </c>
      <c r="G110" s="80">
        <f t="shared" si="96"/>
        <v>65</v>
      </c>
      <c r="H110" s="1">
        <v>356</v>
      </c>
      <c r="I110" s="80">
        <f t="shared" si="97"/>
        <v>19</v>
      </c>
    </row>
    <row r="111" spans="1:9" ht="13.2">
      <c r="C111" s="1">
        <f t="shared" si="98"/>
        <v>10</v>
      </c>
      <c r="D111" s="1">
        <v>5153</v>
      </c>
      <c r="E111" s="80">
        <f t="shared" si="95"/>
        <v>72</v>
      </c>
      <c r="F111" s="1">
        <v>4191</v>
      </c>
      <c r="G111" s="80">
        <f t="shared" si="96"/>
        <v>65</v>
      </c>
      <c r="H111" s="1">
        <v>321</v>
      </c>
      <c r="I111" s="80">
        <f t="shared" si="97"/>
        <v>18</v>
      </c>
    </row>
    <row r="112" spans="1:9" ht="13.2">
      <c r="C112" s="1">
        <f t="shared" si="98"/>
        <v>15</v>
      </c>
      <c r="D112" s="1">
        <v>5207</v>
      </c>
      <c r="E112" s="80">
        <f t="shared" si="95"/>
        <v>72</v>
      </c>
      <c r="F112" s="1">
        <v>4216</v>
      </c>
      <c r="G112" s="80">
        <f t="shared" si="96"/>
        <v>65</v>
      </c>
      <c r="H112" s="1">
        <v>200</v>
      </c>
      <c r="I112" s="80">
        <f t="shared" si="97"/>
        <v>14</v>
      </c>
    </row>
    <row r="113" spans="1:9" ht="13.2">
      <c r="C113" s="1">
        <f t="shared" si="98"/>
        <v>20</v>
      </c>
      <c r="D113" s="1">
        <v>5201</v>
      </c>
      <c r="E113" s="80">
        <f t="shared" si="95"/>
        <v>72</v>
      </c>
      <c r="F113" s="1">
        <v>4019</v>
      </c>
      <c r="G113" s="80">
        <f t="shared" si="96"/>
        <v>63</v>
      </c>
      <c r="H113" s="1">
        <v>64</v>
      </c>
      <c r="I113" s="80">
        <f t="shared" si="97"/>
        <v>8</v>
      </c>
    </row>
    <row r="114" spans="1:9" ht="13.2">
      <c r="C114" s="1">
        <f t="shared" si="98"/>
        <v>25</v>
      </c>
      <c r="D114" s="1">
        <v>5182</v>
      </c>
      <c r="E114" s="80">
        <f t="shared" si="95"/>
        <v>72</v>
      </c>
      <c r="F114" s="1">
        <v>4053</v>
      </c>
      <c r="G114" s="80">
        <f t="shared" si="96"/>
        <v>64</v>
      </c>
      <c r="H114" s="1">
        <v>18</v>
      </c>
      <c r="I114" s="80">
        <f t="shared" si="97"/>
        <v>4</v>
      </c>
    </row>
    <row r="115" spans="1:9" ht="13.2">
      <c r="C115" s="1">
        <f t="shared" si="98"/>
        <v>30</v>
      </c>
      <c r="D115" s="1">
        <v>5176</v>
      </c>
      <c r="E115" s="80">
        <f t="shared" si="95"/>
        <v>72</v>
      </c>
      <c r="F115" s="1">
        <v>3956</v>
      </c>
      <c r="G115" s="80">
        <f t="shared" si="96"/>
        <v>63</v>
      </c>
      <c r="H115" s="1">
        <v>7</v>
      </c>
      <c r="I115" s="80">
        <f t="shared" si="97"/>
        <v>3</v>
      </c>
    </row>
    <row r="116" spans="1:9" ht="13.2">
      <c r="A116" s="21" t="s">
        <v>99</v>
      </c>
      <c r="B116" s="21">
        <v>120</v>
      </c>
      <c r="C116" s="15" t="s">
        <v>38</v>
      </c>
      <c r="D116" s="15" t="s">
        <v>47</v>
      </c>
      <c r="E116" s="15" t="s">
        <v>44</v>
      </c>
      <c r="F116" s="15" t="s">
        <v>48</v>
      </c>
      <c r="G116" s="15" t="s">
        <v>44</v>
      </c>
      <c r="H116" s="15" t="s">
        <v>49</v>
      </c>
      <c r="I116" s="15" t="s">
        <v>44</v>
      </c>
    </row>
    <row r="117" spans="1:9" ht="13.2">
      <c r="C117" s="1">
        <v>-30</v>
      </c>
      <c r="D117" s="1">
        <v>5025</v>
      </c>
      <c r="E117" s="80">
        <f t="shared" ref="E117:E129" si="99">ROUND(SQRT(D117),0)</f>
        <v>71</v>
      </c>
      <c r="F117" s="1">
        <v>4583</v>
      </c>
      <c r="G117" s="80">
        <f t="shared" ref="G117:G129" si="100">ROUND(SQRT(F117),0)</f>
        <v>68</v>
      </c>
      <c r="H117" s="1">
        <v>6</v>
      </c>
      <c r="I117" s="80">
        <f t="shared" ref="I117:I129" si="101">ROUND(SQRT(H117),0)</f>
        <v>2</v>
      </c>
    </row>
    <row r="118" spans="1:9" ht="13.2">
      <c r="C118" s="1">
        <f t="shared" ref="C118:C129" si="102">C117+5</f>
        <v>-25</v>
      </c>
      <c r="D118" s="1">
        <v>5050</v>
      </c>
      <c r="E118" s="80">
        <f t="shared" si="99"/>
        <v>71</v>
      </c>
      <c r="F118" s="1">
        <v>4577</v>
      </c>
      <c r="G118" s="80">
        <f t="shared" si="100"/>
        <v>68</v>
      </c>
      <c r="H118" s="1">
        <v>13</v>
      </c>
      <c r="I118" s="80">
        <f t="shared" si="101"/>
        <v>4</v>
      </c>
    </row>
    <row r="119" spans="1:9" ht="13.2">
      <c r="C119" s="1">
        <f t="shared" si="102"/>
        <v>-20</v>
      </c>
      <c r="D119" s="1">
        <v>4877</v>
      </c>
      <c r="E119" s="80">
        <f t="shared" si="99"/>
        <v>70</v>
      </c>
      <c r="F119" s="1">
        <v>4457</v>
      </c>
      <c r="G119" s="80">
        <f t="shared" si="100"/>
        <v>67</v>
      </c>
      <c r="H119" s="1">
        <v>45</v>
      </c>
      <c r="I119" s="80">
        <f t="shared" si="101"/>
        <v>7</v>
      </c>
    </row>
    <row r="120" spans="1:9" ht="13.2">
      <c r="C120" s="1">
        <f t="shared" si="102"/>
        <v>-15</v>
      </c>
      <c r="D120" s="1">
        <v>4977</v>
      </c>
      <c r="E120" s="80">
        <f t="shared" si="99"/>
        <v>71</v>
      </c>
      <c r="F120" s="1">
        <v>4342</v>
      </c>
      <c r="G120" s="80">
        <f t="shared" si="100"/>
        <v>66</v>
      </c>
      <c r="H120" s="1">
        <v>192</v>
      </c>
      <c r="I120" s="80">
        <f t="shared" si="101"/>
        <v>14</v>
      </c>
    </row>
    <row r="121" spans="1:9" ht="13.2">
      <c r="C121" s="1">
        <f t="shared" si="102"/>
        <v>-10</v>
      </c>
      <c r="D121" s="1">
        <v>5110</v>
      </c>
      <c r="E121" s="80">
        <f t="shared" si="99"/>
        <v>71</v>
      </c>
      <c r="F121" s="1">
        <v>4493</v>
      </c>
      <c r="G121" s="80">
        <f t="shared" si="100"/>
        <v>67</v>
      </c>
      <c r="H121" s="1">
        <v>390</v>
      </c>
      <c r="I121" s="80">
        <f t="shared" si="101"/>
        <v>20</v>
      </c>
    </row>
    <row r="122" spans="1:9" ht="13.2">
      <c r="C122" s="1">
        <f t="shared" si="102"/>
        <v>-5</v>
      </c>
      <c r="D122" s="1">
        <v>5019</v>
      </c>
      <c r="E122" s="80">
        <f t="shared" si="99"/>
        <v>71</v>
      </c>
      <c r="F122" s="1">
        <v>4306</v>
      </c>
      <c r="G122" s="80">
        <f t="shared" si="100"/>
        <v>66</v>
      </c>
      <c r="H122" s="1">
        <v>474</v>
      </c>
      <c r="I122" s="80">
        <f t="shared" si="101"/>
        <v>22</v>
      </c>
    </row>
    <row r="123" spans="1:9" ht="13.2">
      <c r="C123" s="1">
        <f t="shared" si="102"/>
        <v>0</v>
      </c>
      <c r="D123" s="1">
        <v>5226</v>
      </c>
      <c r="E123" s="80">
        <f t="shared" si="99"/>
        <v>72</v>
      </c>
      <c r="F123" s="1">
        <v>4360</v>
      </c>
      <c r="G123" s="80">
        <f t="shared" si="100"/>
        <v>66</v>
      </c>
      <c r="H123" s="1">
        <v>426</v>
      </c>
      <c r="I123" s="80">
        <f t="shared" si="101"/>
        <v>21</v>
      </c>
    </row>
    <row r="124" spans="1:9" ht="13.2">
      <c r="C124" s="1">
        <f t="shared" si="102"/>
        <v>5</v>
      </c>
      <c r="D124" s="1">
        <v>5183</v>
      </c>
      <c r="E124" s="80">
        <f t="shared" si="99"/>
        <v>72</v>
      </c>
      <c r="F124" s="1">
        <v>4355</v>
      </c>
      <c r="G124" s="80">
        <f t="shared" si="100"/>
        <v>66</v>
      </c>
      <c r="H124" s="1">
        <v>320</v>
      </c>
      <c r="I124" s="80">
        <f t="shared" si="101"/>
        <v>18</v>
      </c>
    </row>
    <row r="125" spans="1:9" ht="13.2">
      <c r="C125" s="1">
        <f t="shared" si="102"/>
        <v>10</v>
      </c>
      <c r="D125" s="1">
        <v>5002</v>
      </c>
      <c r="E125" s="80">
        <f t="shared" si="99"/>
        <v>71</v>
      </c>
      <c r="F125" s="1">
        <v>4346</v>
      </c>
      <c r="G125" s="80">
        <f t="shared" si="100"/>
        <v>66</v>
      </c>
      <c r="H125" s="1">
        <v>199</v>
      </c>
      <c r="I125" s="80">
        <f t="shared" si="101"/>
        <v>14</v>
      </c>
    </row>
    <row r="126" spans="1:9" ht="13.2">
      <c r="C126" s="1">
        <f t="shared" si="102"/>
        <v>15</v>
      </c>
      <c r="D126" s="1">
        <v>5251</v>
      </c>
      <c r="E126" s="80">
        <f t="shared" si="99"/>
        <v>72</v>
      </c>
      <c r="F126" s="1">
        <v>4328</v>
      </c>
      <c r="G126" s="80">
        <f t="shared" si="100"/>
        <v>66</v>
      </c>
      <c r="H126" s="1">
        <v>63</v>
      </c>
      <c r="I126" s="80">
        <f t="shared" si="101"/>
        <v>8</v>
      </c>
    </row>
    <row r="127" spans="1:9" ht="13.2">
      <c r="C127" s="1">
        <f t="shared" si="102"/>
        <v>20</v>
      </c>
      <c r="D127" s="1">
        <v>5158</v>
      </c>
      <c r="E127" s="80">
        <f t="shared" si="99"/>
        <v>72</v>
      </c>
      <c r="F127" s="1">
        <v>4087</v>
      </c>
      <c r="G127" s="80">
        <f t="shared" si="100"/>
        <v>64</v>
      </c>
      <c r="H127" s="1">
        <v>11</v>
      </c>
      <c r="I127" s="80">
        <f t="shared" si="101"/>
        <v>3</v>
      </c>
    </row>
    <row r="128" spans="1:9" ht="13.2">
      <c r="C128" s="1">
        <f t="shared" si="102"/>
        <v>25</v>
      </c>
      <c r="D128" s="1">
        <v>5188</v>
      </c>
      <c r="E128" s="80">
        <f t="shared" si="99"/>
        <v>72</v>
      </c>
      <c r="F128" s="1">
        <v>4148</v>
      </c>
      <c r="G128" s="80">
        <f t="shared" si="100"/>
        <v>64</v>
      </c>
      <c r="H128" s="1">
        <v>15</v>
      </c>
      <c r="I128" s="80">
        <f t="shared" si="101"/>
        <v>4</v>
      </c>
    </row>
    <row r="129" spans="1:9" ht="13.2">
      <c r="C129" s="1">
        <f t="shared" si="102"/>
        <v>30</v>
      </c>
      <c r="D129" s="1">
        <v>5051</v>
      </c>
      <c r="E129" s="80">
        <f t="shared" si="99"/>
        <v>71</v>
      </c>
      <c r="F129" s="1">
        <v>4007</v>
      </c>
      <c r="G129" s="80">
        <f t="shared" si="100"/>
        <v>63</v>
      </c>
      <c r="H129" s="1">
        <v>11</v>
      </c>
      <c r="I129" s="80">
        <f t="shared" si="101"/>
        <v>3</v>
      </c>
    </row>
    <row r="130" spans="1:9" ht="13.2">
      <c r="A130" s="21" t="s">
        <v>99</v>
      </c>
      <c r="B130" s="21">
        <v>135</v>
      </c>
      <c r="C130" s="15" t="s">
        <v>38</v>
      </c>
      <c r="D130" s="15" t="s">
        <v>47</v>
      </c>
      <c r="E130" s="15" t="s">
        <v>44</v>
      </c>
      <c r="F130" s="15" t="s">
        <v>48</v>
      </c>
      <c r="G130" s="15" t="s">
        <v>44</v>
      </c>
      <c r="H130" s="15" t="s">
        <v>49</v>
      </c>
      <c r="I130" s="15" t="s">
        <v>44</v>
      </c>
    </row>
    <row r="131" spans="1:9" ht="13.2">
      <c r="C131" s="1">
        <v>-30</v>
      </c>
      <c r="D131" s="1">
        <v>4934</v>
      </c>
      <c r="E131" s="80">
        <f t="shared" ref="E131:E143" si="103">ROUND(SQRT(D131),0)</f>
        <v>70</v>
      </c>
      <c r="F131" s="1">
        <v>4766</v>
      </c>
      <c r="G131" s="80">
        <f t="shared" ref="G131:G143" si="104">ROUND(SQRT(F131),0)</f>
        <v>69</v>
      </c>
      <c r="H131" s="1">
        <v>12</v>
      </c>
      <c r="I131" s="80">
        <f t="shared" ref="I131:I143" si="105">ROUND(SQRT(H131),0)</f>
        <v>3</v>
      </c>
    </row>
    <row r="132" spans="1:9" ht="13.2">
      <c r="C132" s="1">
        <f t="shared" ref="C132:C143" si="106">C131+5</f>
        <v>-25</v>
      </c>
      <c r="D132" s="1">
        <v>5056</v>
      </c>
      <c r="E132" s="80">
        <f t="shared" si="103"/>
        <v>71</v>
      </c>
      <c r="F132" s="1">
        <v>4786</v>
      </c>
      <c r="G132" s="80">
        <f t="shared" si="104"/>
        <v>69</v>
      </c>
      <c r="H132" s="1">
        <v>33</v>
      </c>
      <c r="I132" s="80">
        <f t="shared" si="105"/>
        <v>6</v>
      </c>
    </row>
    <row r="133" spans="1:9" ht="13.2">
      <c r="C133" s="1">
        <f t="shared" si="106"/>
        <v>-20</v>
      </c>
      <c r="D133" s="1">
        <v>4937</v>
      </c>
      <c r="E133" s="80">
        <f t="shared" si="103"/>
        <v>70</v>
      </c>
      <c r="F133" s="1">
        <v>4647</v>
      </c>
      <c r="G133" s="80">
        <f t="shared" si="104"/>
        <v>68</v>
      </c>
      <c r="H133" s="1">
        <v>101</v>
      </c>
      <c r="I133" s="80">
        <f t="shared" si="105"/>
        <v>10</v>
      </c>
    </row>
    <row r="134" spans="1:9" ht="13.2">
      <c r="C134" s="1">
        <f t="shared" si="106"/>
        <v>-15</v>
      </c>
      <c r="D134" s="1">
        <v>4884</v>
      </c>
      <c r="E134" s="80">
        <f t="shared" si="103"/>
        <v>70</v>
      </c>
      <c r="F134" s="1">
        <v>4546</v>
      </c>
      <c r="G134" s="80">
        <f t="shared" si="104"/>
        <v>67</v>
      </c>
      <c r="H134" s="1">
        <v>230</v>
      </c>
      <c r="I134" s="80">
        <f t="shared" si="105"/>
        <v>15</v>
      </c>
    </row>
    <row r="135" spans="1:9" ht="13.2">
      <c r="C135" s="1">
        <f t="shared" si="106"/>
        <v>-10</v>
      </c>
      <c r="D135" s="1">
        <v>4905</v>
      </c>
      <c r="E135" s="80">
        <f t="shared" si="103"/>
        <v>70</v>
      </c>
      <c r="F135" s="1">
        <v>4544</v>
      </c>
      <c r="G135" s="80">
        <f t="shared" si="104"/>
        <v>67</v>
      </c>
      <c r="H135" s="1">
        <v>450</v>
      </c>
      <c r="I135" s="80">
        <f t="shared" si="105"/>
        <v>21</v>
      </c>
    </row>
    <row r="136" spans="1:9" ht="13.2">
      <c r="C136" s="1">
        <f t="shared" si="106"/>
        <v>-5</v>
      </c>
      <c r="D136" s="1">
        <v>4883</v>
      </c>
      <c r="E136" s="80">
        <f t="shared" si="103"/>
        <v>70</v>
      </c>
      <c r="F136" s="1">
        <v>4439</v>
      </c>
      <c r="G136" s="80">
        <f t="shared" si="104"/>
        <v>67</v>
      </c>
      <c r="H136" s="1">
        <v>523</v>
      </c>
      <c r="I136" s="80">
        <f t="shared" si="105"/>
        <v>23</v>
      </c>
    </row>
    <row r="137" spans="1:9" ht="13.2">
      <c r="C137" s="1">
        <f t="shared" si="106"/>
        <v>0</v>
      </c>
      <c r="D137" s="1">
        <v>4943</v>
      </c>
      <c r="E137" s="80">
        <f t="shared" si="103"/>
        <v>70</v>
      </c>
      <c r="F137" s="1">
        <v>4402</v>
      </c>
      <c r="G137" s="80">
        <f t="shared" si="104"/>
        <v>66</v>
      </c>
      <c r="H137" s="1">
        <v>416</v>
      </c>
      <c r="I137" s="80">
        <f t="shared" si="105"/>
        <v>20</v>
      </c>
    </row>
    <row r="138" spans="1:9" ht="13.2">
      <c r="C138" s="1">
        <f t="shared" si="106"/>
        <v>5</v>
      </c>
      <c r="D138" s="1">
        <v>5045</v>
      </c>
      <c r="E138" s="80">
        <f t="shared" si="103"/>
        <v>71</v>
      </c>
      <c r="F138" s="1">
        <v>4418</v>
      </c>
      <c r="G138" s="80">
        <f t="shared" si="104"/>
        <v>66</v>
      </c>
      <c r="H138" s="1">
        <v>208</v>
      </c>
      <c r="I138" s="80">
        <f t="shared" si="105"/>
        <v>14</v>
      </c>
    </row>
    <row r="139" spans="1:9" ht="13.2">
      <c r="C139" s="1">
        <f t="shared" si="106"/>
        <v>10</v>
      </c>
      <c r="D139" s="1">
        <v>4867</v>
      </c>
      <c r="E139" s="80">
        <f t="shared" si="103"/>
        <v>70</v>
      </c>
      <c r="F139" s="1">
        <v>4390</v>
      </c>
      <c r="G139" s="80">
        <f t="shared" si="104"/>
        <v>66</v>
      </c>
      <c r="H139" s="1">
        <v>38</v>
      </c>
      <c r="I139" s="80">
        <f t="shared" si="105"/>
        <v>6</v>
      </c>
    </row>
    <row r="140" spans="1:9" ht="13.2">
      <c r="C140" s="1">
        <f t="shared" si="106"/>
        <v>15</v>
      </c>
      <c r="D140" s="1">
        <v>4819</v>
      </c>
      <c r="E140" s="80">
        <f t="shared" si="103"/>
        <v>69</v>
      </c>
      <c r="F140" s="1">
        <v>4424</v>
      </c>
      <c r="G140" s="80">
        <f t="shared" si="104"/>
        <v>67</v>
      </c>
      <c r="H140" s="1">
        <v>15</v>
      </c>
      <c r="I140" s="80">
        <f t="shared" si="105"/>
        <v>4</v>
      </c>
    </row>
    <row r="141" spans="1:9" ht="13.2">
      <c r="C141" s="1">
        <f t="shared" si="106"/>
        <v>20</v>
      </c>
      <c r="D141" s="1">
        <v>5001</v>
      </c>
      <c r="E141" s="80">
        <f t="shared" si="103"/>
        <v>71</v>
      </c>
      <c r="F141" s="1">
        <v>4367</v>
      </c>
      <c r="G141" s="80">
        <f t="shared" si="104"/>
        <v>66</v>
      </c>
      <c r="H141" s="1">
        <v>10</v>
      </c>
      <c r="I141" s="80">
        <f t="shared" si="105"/>
        <v>3</v>
      </c>
    </row>
    <row r="142" spans="1:9" ht="13.2">
      <c r="C142" s="1">
        <f t="shared" si="106"/>
        <v>25</v>
      </c>
      <c r="D142" s="1">
        <v>5066</v>
      </c>
      <c r="E142" s="80">
        <f t="shared" si="103"/>
        <v>71</v>
      </c>
      <c r="F142" s="1">
        <v>4307</v>
      </c>
      <c r="G142" s="80">
        <f t="shared" si="104"/>
        <v>66</v>
      </c>
      <c r="H142" s="1">
        <v>14</v>
      </c>
      <c r="I142" s="80">
        <f t="shared" si="105"/>
        <v>4</v>
      </c>
    </row>
    <row r="143" spans="1:9" ht="13.2">
      <c r="C143" s="1">
        <f t="shared" si="106"/>
        <v>30</v>
      </c>
      <c r="D143" s="1">
        <v>5135</v>
      </c>
      <c r="E143" s="80">
        <f t="shared" si="103"/>
        <v>72</v>
      </c>
      <c r="F143" s="1">
        <v>4177</v>
      </c>
      <c r="G143" s="80">
        <f t="shared" si="104"/>
        <v>65</v>
      </c>
      <c r="H143" s="1">
        <v>12</v>
      </c>
      <c r="I143" s="80">
        <f t="shared" si="105"/>
        <v>3</v>
      </c>
    </row>
    <row r="144" spans="1:9" ht="13.2">
      <c r="A144" s="21" t="s">
        <v>99</v>
      </c>
      <c r="B144" s="21">
        <v>150</v>
      </c>
      <c r="C144" s="15" t="s">
        <v>38</v>
      </c>
      <c r="D144" s="15" t="s">
        <v>47</v>
      </c>
      <c r="E144" s="15" t="s">
        <v>44</v>
      </c>
      <c r="F144" s="15" t="s">
        <v>48</v>
      </c>
      <c r="G144" s="15" t="s">
        <v>44</v>
      </c>
      <c r="H144" s="15" t="s">
        <v>49</v>
      </c>
      <c r="I144" s="15" t="s">
        <v>44</v>
      </c>
    </row>
    <row r="145" spans="1:9" ht="13.2">
      <c r="C145" s="1">
        <v>-30</v>
      </c>
      <c r="D145" s="1">
        <v>4818</v>
      </c>
      <c r="E145" s="80">
        <f t="shared" ref="E145:E157" si="107">ROUND(SQRT(D145),0)</f>
        <v>69</v>
      </c>
      <c r="F145" s="1">
        <v>4790</v>
      </c>
      <c r="G145" s="80">
        <f t="shared" ref="G145:G157" si="108">ROUND(SQRT(F145),0)</f>
        <v>69</v>
      </c>
      <c r="H145" s="1">
        <v>21</v>
      </c>
      <c r="I145" s="80">
        <f t="shared" ref="I145:I157" si="109">ROUND(SQRT(H145),0)</f>
        <v>5</v>
      </c>
    </row>
    <row r="146" spans="1:9" ht="13.2">
      <c r="C146" s="1">
        <f t="shared" ref="C146:C157" si="110">C145+5</f>
        <v>-25</v>
      </c>
      <c r="D146" s="1">
        <v>4730</v>
      </c>
      <c r="E146" s="80">
        <f t="shared" si="107"/>
        <v>69</v>
      </c>
      <c r="F146" s="1">
        <v>4810</v>
      </c>
      <c r="G146" s="80">
        <f t="shared" si="108"/>
        <v>69</v>
      </c>
      <c r="H146" s="1">
        <v>87</v>
      </c>
      <c r="I146" s="80">
        <f t="shared" si="109"/>
        <v>9</v>
      </c>
    </row>
    <row r="147" spans="1:9" ht="13.2">
      <c r="C147" s="1">
        <f t="shared" si="110"/>
        <v>-20</v>
      </c>
      <c r="D147" s="1">
        <v>4695</v>
      </c>
      <c r="E147" s="80">
        <f t="shared" si="107"/>
        <v>69</v>
      </c>
      <c r="F147" s="1">
        <v>4823</v>
      </c>
      <c r="G147" s="80">
        <f t="shared" si="108"/>
        <v>69</v>
      </c>
      <c r="H147" s="1">
        <v>198</v>
      </c>
      <c r="I147" s="80">
        <f t="shared" si="109"/>
        <v>14</v>
      </c>
    </row>
    <row r="148" spans="1:9" ht="13.2">
      <c r="C148" s="1">
        <f t="shared" si="110"/>
        <v>-15</v>
      </c>
      <c r="D148" s="1">
        <v>4642</v>
      </c>
      <c r="E148" s="80">
        <f t="shared" si="107"/>
        <v>68</v>
      </c>
      <c r="F148" s="1">
        <v>4735</v>
      </c>
      <c r="G148" s="80">
        <f t="shared" si="108"/>
        <v>69</v>
      </c>
      <c r="H148" s="1">
        <v>334</v>
      </c>
      <c r="I148" s="80">
        <f t="shared" si="109"/>
        <v>18</v>
      </c>
    </row>
    <row r="149" spans="1:9" ht="13.2">
      <c r="C149" s="1">
        <f t="shared" si="110"/>
        <v>-10</v>
      </c>
      <c r="D149" s="1">
        <v>4711</v>
      </c>
      <c r="E149" s="80">
        <f t="shared" si="107"/>
        <v>69</v>
      </c>
      <c r="F149" s="1">
        <v>4805</v>
      </c>
      <c r="G149" s="80">
        <f t="shared" si="108"/>
        <v>69</v>
      </c>
      <c r="H149" s="1">
        <v>399</v>
      </c>
      <c r="I149" s="80">
        <f t="shared" si="109"/>
        <v>20</v>
      </c>
    </row>
    <row r="150" spans="1:9" ht="13.2">
      <c r="C150" s="1">
        <f t="shared" si="110"/>
        <v>-5</v>
      </c>
      <c r="D150" s="1">
        <v>4756</v>
      </c>
      <c r="E150" s="80">
        <f t="shared" si="107"/>
        <v>69</v>
      </c>
      <c r="F150" s="1">
        <v>4688</v>
      </c>
      <c r="G150" s="80">
        <f t="shared" si="108"/>
        <v>68</v>
      </c>
      <c r="H150" s="1">
        <v>415</v>
      </c>
      <c r="I150" s="80">
        <f t="shared" si="109"/>
        <v>20</v>
      </c>
    </row>
    <row r="151" spans="1:9" ht="13.2">
      <c r="C151" s="1">
        <f t="shared" si="110"/>
        <v>0</v>
      </c>
      <c r="D151" s="1">
        <v>4659</v>
      </c>
      <c r="E151" s="80">
        <f t="shared" si="107"/>
        <v>68</v>
      </c>
      <c r="F151" s="1">
        <v>4536</v>
      </c>
      <c r="G151" s="80">
        <f t="shared" si="108"/>
        <v>67</v>
      </c>
      <c r="H151" s="1">
        <v>320</v>
      </c>
      <c r="I151" s="80">
        <f t="shared" si="109"/>
        <v>18</v>
      </c>
    </row>
    <row r="152" spans="1:9" ht="13.2">
      <c r="C152" s="1">
        <f t="shared" si="110"/>
        <v>5</v>
      </c>
      <c r="D152" s="1">
        <v>4664</v>
      </c>
      <c r="E152" s="80">
        <f t="shared" si="107"/>
        <v>68</v>
      </c>
      <c r="F152" s="1">
        <v>4533</v>
      </c>
      <c r="G152" s="80">
        <f t="shared" si="108"/>
        <v>67</v>
      </c>
      <c r="H152" s="1">
        <v>142</v>
      </c>
      <c r="I152" s="80">
        <f t="shared" si="109"/>
        <v>12</v>
      </c>
    </row>
    <row r="153" spans="1:9" ht="13.2">
      <c r="C153" s="1">
        <f t="shared" si="110"/>
        <v>10</v>
      </c>
      <c r="D153" s="1">
        <v>4947</v>
      </c>
      <c r="E153" s="80">
        <f t="shared" si="107"/>
        <v>70</v>
      </c>
      <c r="F153" s="1">
        <v>4426</v>
      </c>
      <c r="G153" s="80">
        <f t="shared" si="108"/>
        <v>67</v>
      </c>
      <c r="H153" s="1">
        <v>34</v>
      </c>
      <c r="I153" s="80">
        <f t="shared" si="109"/>
        <v>6</v>
      </c>
    </row>
    <row r="154" spans="1:9" ht="13.2">
      <c r="C154" s="1">
        <f t="shared" si="110"/>
        <v>15</v>
      </c>
      <c r="D154" s="1">
        <v>4834</v>
      </c>
      <c r="E154" s="80">
        <f t="shared" si="107"/>
        <v>70</v>
      </c>
      <c r="F154" s="1">
        <v>4440</v>
      </c>
      <c r="G154" s="80">
        <f t="shared" si="108"/>
        <v>67</v>
      </c>
      <c r="H154" s="1">
        <v>16</v>
      </c>
      <c r="I154" s="80">
        <f t="shared" si="109"/>
        <v>4</v>
      </c>
    </row>
    <row r="155" spans="1:9" ht="13.2">
      <c r="C155" s="1">
        <f t="shared" si="110"/>
        <v>20</v>
      </c>
      <c r="D155" s="1">
        <v>4654</v>
      </c>
      <c r="E155" s="80">
        <f t="shared" si="107"/>
        <v>68</v>
      </c>
      <c r="F155" s="1">
        <v>4433</v>
      </c>
      <c r="G155" s="80">
        <f t="shared" si="108"/>
        <v>67</v>
      </c>
      <c r="H155" s="1">
        <v>9</v>
      </c>
      <c r="I155" s="80">
        <f t="shared" si="109"/>
        <v>3</v>
      </c>
    </row>
    <row r="156" spans="1:9" ht="13.2">
      <c r="C156" s="1">
        <f t="shared" si="110"/>
        <v>25</v>
      </c>
      <c r="D156" s="1">
        <v>4669</v>
      </c>
      <c r="E156" s="80">
        <f t="shared" si="107"/>
        <v>68</v>
      </c>
      <c r="F156" s="1">
        <v>4405</v>
      </c>
      <c r="G156" s="80">
        <f t="shared" si="108"/>
        <v>66</v>
      </c>
      <c r="H156" s="1">
        <v>12</v>
      </c>
      <c r="I156" s="80">
        <f t="shared" si="109"/>
        <v>3</v>
      </c>
    </row>
    <row r="157" spans="1:9" ht="13.2">
      <c r="C157" s="1">
        <f t="shared" si="110"/>
        <v>30</v>
      </c>
      <c r="D157" s="1">
        <v>4743</v>
      </c>
      <c r="E157" s="80">
        <f t="shared" si="107"/>
        <v>69</v>
      </c>
      <c r="F157" s="1">
        <v>4331</v>
      </c>
      <c r="G157" s="80">
        <f t="shared" si="108"/>
        <v>66</v>
      </c>
      <c r="H157" s="1">
        <v>9</v>
      </c>
      <c r="I157" s="80">
        <f t="shared" si="109"/>
        <v>3</v>
      </c>
    </row>
    <row r="158" spans="1:9" ht="13.2">
      <c r="A158" s="21" t="s">
        <v>99</v>
      </c>
      <c r="B158" s="21">
        <v>165</v>
      </c>
      <c r="C158" s="15" t="s">
        <v>38</v>
      </c>
      <c r="D158" s="15" t="s">
        <v>47</v>
      </c>
      <c r="E158" s="15" t="s">
        <v>44</v>
      </c>
      <c r="F158" s="15" t="s">
        <v>48</v>
      </c>
      <c r="G158" s="15" t="s">
        <v>44</v>
      </c>
      <c r="H158" s="15" t="s">
        <v>49</v>
      </c>
      <c r="I158" s="15" t="s">
        <v>44</v>
      </c>
    </row>
    <row r="159" spans="1:9" ht="13.2">
      <c r="C159" s="1">
        <v>-30</v>
      </c>
      <c r="D159" s="1">
        <v>4429</v>
      </c>
      <c r="E159" s="80">
        <f t="shared" ref="E159:E171" si="111">ROUND(SQRT(D159),0)</f>
        <v>67</v>
      </c>
      <c r="F159" s="1">
        <v>4706</v>
      </c>
      <c r="G159" s="80">
        <f t="shared" ref="G159:G171" si="112">ROUND(SQRT(F159),0)</f>
        <v>69</v>
      </c>
      <c r="H159" s="1">
        <v>56</v>
      </c>
      <c r="I159" s="80">
        <f t="shared" ref="I159:I171" si="113">ROUND(SQRT(H159),0)</f>
        <v>7</v>
      </c>
    </row>
    <row r="160" spans="1:9" ht="13.2">
      <c r="C160" s="1">
        <f t="shared" ref="C160:C171" si="114">C159+5</f>
        <v>-25</v>
      </c>
      <c r="D160" s="1">
        <v>4547</v>
      </c>
      <c r="E160" s="80">
        <f t="shared" si="111"/>
        <v>67</v>
      </c>
      <c r="F160" s="1">
        <v>4754</v>
      </c>
      <c r="G160" s="80">
        <f t="shared" si="112"/>
        <v>69</v>
      </c>
      <c r="H160" s="1">
        <v>199</v>
      </c>
      <c r="I160" s="80">
        <f t="shared" si="113"/>
        <v>14</v>
      </c>
    </row>
    <row r="161" spans="1:9" ht="13.2">
      <c r="C161" s="1">
        <f t="shared" si="114"/>
        <v>-20</v>
      </c>
      <c r="D161" s="1">
        <v>4543</v>
      </c>
      <c r="E161" s="80">
        <f t="shared" si="111"/>
        <v>67</v>
      </c>
      <c r="F161" s="1">
        <v>4779</v>
      </c>
      <c r="G161" s="80">
        <f t="shared" si="112"/>
        <v>69</v>
      </c>
      <c r="H161" s="1">
        <v>326</v>
      </c>
      <c r="I161" s="80">
        <f t="shared" si="113"/>
        <v>18</v>
      </c>
    </row>
    <row r="162" spans="1:9" ht="13.2">
      <c r="C162" s="1">
        <f t="shared" si="114"/>
        <v>-15</v>
      </c>
      <c r="D162" s="1">
        <v>4526</v>
      </c>
      <c r="E162" s="80">
        <f t="shared" si="111"/>
        <v>67</v>
      </c>
      <c r="F162" s="1">
        <v>4908</v>
      </c>
      <c r="G162" s="80">
        <f t="shared" si="112"/>
        <v>70</v>
      </c>
      <c r="H162" s="1">
        <v>397</v>
      </c>
      <c r="I162" s="80">
        <f t="shared" si="113"/>
        <v>20</v>
      </c>
    </row>
    <row r="163" spans="1:9" ht="13.2">
      <c r="C163" s="1">
        <f t="shared" si="114"/>
        <v>-10</v>
      </c>
      <c r="D163" s="1">
        <v>4509</v>
      </c>
      <c r="E163" s="80">
        <f t="shared" si="111"/>
        <v>67</v>
      </c>
      <c r="F163" s="1">
        <v>4853</v>
      </c>
      <c r="G163" s="80">
        <f t="shared" si="112"/>
        <v>70</v>
      </c>
      <c r="H163" s="1">
        <v>298</v>
      </c>
      <c r="I163" s="80">
        <f t="shared" si="113"/>
        <v>17</v>
      </c>
    </row>
    <row r="164" spans="1:9" ht="13.2">
      <c r="C164" s="1">
        <f t="shared" si="114"/>
        <v>-5</v>
      </c>
      <c r="D164" s="1">
        <v>4534</v>
      </c>
      <c r="E164" s="80">
        <f t="shared" si="111"/>
        <v>67</v>
      </c>
      <c r="F164" s="1">
        <v>4844</v>
      </c>
      <c r="G164" s="80">
        <f t="shared" si="112"/>
        <v>70</v>
      </c>
      <c r="H164" s="1">
        <v>250</v>
      </c>
      <c r="I164" s="80">
        <f t="shared" si="113"/>
        <v>16</v>
      </c>
    </row>
    <row r="165" spans="1:9" ht="13.2">
      <c r="C165" s="1">
        <f t="shared" si="114"/>
        <v>0</v>
      </c>
      <c r="D165" s="1">
        <v>4438</v>
      </c>
      <c r="E165" s="80">
        <f t="shared" si="111"/>
        <v>67</v>
      </c>
      <c r="F165" s="1">
        <v>4810</v>
      </c>
      <c r="G165" s="80">
        <f t="shared" si="112"/>
        <v>69</v>
      </c>
      <c r="H165" s="1">
        <v>209</v>
      </c>
      <c r="I165" s="80">
        <f t="shared" si="113"/>
        <v>14</v>
      </c>
    </row>
    <row r="166" spans="1:9" ht="13.2">
      <c r="C166" s="1">
        <f t="shared" si="114"/>
        <v>5</v>
      </c>
      <c r="D166" s="1">
        <v>4448</v>
      </c>
      <c r="E166" s="80">
        <f t="shared" si="111"/>
        <v>67</v>
      </c>
      <c r="F166" s="1">
        <v>4729</v>
      </c>
      <c r="G166" s="80">
        <f t="shared" si="112"/>
        <v>69</v>
      </c>
      <c r="H166" s="1">
        <v>224</v>
      </c>
      <c r="I166" s="80">
        <f t="shared" si="113"/>
        <v>15</v>
      </c>
    </row>
    <row r="167" spans="1:9" ht="13.2">
      <c r="C167" s="1">
        <f t="shared" si="114"/>
        <v>10</v>
      </c>
      <c r="D167" s="1">
        <v>4615</v>
      </c>
      <c r="E167" s="80">
        <f t="shared" si="111"/>
        <v>68</v>
      </c>
      <c r="F167" s="1">
        <v>4745</v>
      </c>
      <c r="G167" s="80">
        <f t="shared" si="112"/>
        <v>69</v>
      </c>
      <c r="H167" s="1">
        <v>102</v>
      </c>
      <c r="I167" s="80">
        <f t="shared" si="113"/>
        <v>10</v>
      </c>
    </row>
    <row r="168" spans="1:9" ht="13.2">
      <c r="C168" s="1">
        <f t="shared" si="114"/>
        <v>15</v>
      </c>
      <c r="D168" s="1">
        <v>4470</v>
      </c>
      <c r="E168" s="80">
        <f t="shared" si="111"/>
        <v>67</v>
      </c>
      <c r="F168" s="1">
        <v>4420</v>
      </c>
      <c r="G168" s="80">
        <f t="shared" si="112"/>
        <v>66</v>
      </c>
      <c r="H168" s="1">
        <v>35</v>
      </c>
      <c r="I168" s="80">
        <f t="shared" si="113"/>
        <v>6</v>
      </c>
    </row>
    <row r="169" spans="1:9" ht="13.2">
      <c r="C169" s="1">
        <f t="shared" si="114"/>
        <v>20</v>
      </c>
      <c r="D169" s="1">
        <v>4489</v>
      </c>
      <c r="E169" s="80">
        <f t="shared" si="111"/>
        <v>67</v>
      </c>
      <c r="F169" s="1">
        <v>4490</v>
      </c>
      <c r="G169" s="80">
        <f t="shared" si="112"/>
        <v>67</v>
      </c>
      <c r="H169" s="1">
        <v>13</v>
      </c>
      <c r="I169" s="80">
        <f t="shared" si="113"/>
        <v>4</v>
      </c>
    </row>
    <row r="170" spans="1:9" ht="13.2">
      <c r="C170" s="1">
        <f t="shared" si="114"/>
        <v>25</v>
      </c>
      <c r="D170" s="1">
        <v>4578</v>
      </c>
      <c r="E170" s="80">
        <f t="shared" si="111"/>
        <v>68</v>
      </c>
      <c r="F170" s="1">
        <v>4432</v>
      </c>
      <c r="G170" s="80">
        <f t="shared" si="112"/>
        <v>67</v>
      </c>
      <c r="H170" s="1">
        <v>10</v>
      </c>
      <c r="I170" s="80">
        <f t="shared" si="113"/>
        <v>3</v>
      </c>
    </row>
    <row r="171" spans="1:9" ht="13.2">
      <c r="C171" s="1">
        <f t="shared" si="114"/>
        <v>30</v>
      </c>
      <c r="D171" s="1">
        <v>4566</v>
      </c>
      <c r="E171" s="80">
        <f t="shared" si="111"/>
        <v>68</v>
      </c>
      <c r="F171" s="1">
        <v>4360</v>
      </c>
      <c r="G171" s="80">
        <f t="shared" si="112"/>
        <v>66</v>
      </c>
      <c r="H171" s="1">
        <v>5</v>
      </c>
      <c r="I171" s="80">
        <f t="shared" si="113"/>
        <v>2</v>
      </c>
    </row>
    <row r="172" spans="1:9" ht="13.2">
      <c r="A172" s="21" t="s">
        <v>99</v>
      </c>
      <c r="B172" s="21">
        <v>180</v>
      </c>
      <c r="C172" s="15" t="s">
        <v>38</v>
      </c>
      <c r="D172" s="15" t="s">
        <v>47</v>
      </c>
      <c r="E172" s="15" t="s">
        <v>44</v>
      </c>
      <c r="F172" s="15" t="s">
        <v>48</v>
      </c>
      <c r="G172" s="15" t="s">
        <v>44</v>
      </c>
      <c r="H172" s="15" t="s">
        <v>49</v>
      </c>
      <c r="I172" s="15" t="s">
        <v>44</v>
      </c>
    </row>
    <row r="173" spans="1:9" ht="13.2">
      <c r="C173" s="1">
        <v>-30</v>
      </c>
      <c r="D173" s="1">
        <v>4230</v>
      </c>
      <c r="E173" s="80">
        <f t="shared" ref="E173:E185" si="115">ROUND(SQRT(D173),0)</f>
        <v>65</v>
      </c>
      <c r="F173" s="1">
        <v>4971</v>
      </c>
      <c r="G173" s="80">
        <f t="shared" ref="G173:G185" si="116">ROUND(SQRT(F173),0)</f>
        <v>71</v>
      </c>
      <c r="H173" s="1">
        <v>97</v>
      </c>
      <c r="I173" s="80">
        <f t="shared" ref="I173:I185" si="117">ROUND(SQRT(H173),0)</f>
        <v>10</v>
      </c>
    </row>
    <row r="174" spans="1:9" ht="13.2">
      <c r="C174" s="1">
        <f t="shared" ref="C174:C185" si="118">C173+5</f>
        <v>-25</v>
      </c>
      <c r="D174" s="1">
        <v>4184</v>
      </c>
      <c r="E174" s="80">
        <f t="shared" si="115"/>
        <v>65</v>
      </c>
      <c r="F174" s="1">
        <v>4984</v>
      </c>
      <c r="G174" s="80">
        <f t="shared" si="116"/>
        <v>71</v>
      </c>
      <c r="H174" s="1">
        <v>235</v>
      </c>
      <c r="I174" s="80">
        <f t="shared" si="117"/>
        <v>15</v>
      </c>
    </row>
    <row r="175" spans="1:9" ht="13.2">
      <c r="C175" s="1">
        <f t="shared" si="118"/>
        <v>-20</v>
      </c>
      <c r="D175" s="1">
        <v>4122</v>
      </c>
      <c r="E175" s="80">
        <f t="shared" si="115"/>
        <v>64</v>
      </c>
      <c r="F175" s="1">
        <v>4930</v>
      </c>
      <c r="G175" s="80">
        <f t="shared" si="116"/>
        <v>70</v>
      </c>
      <c r="H175" s="1">
        <v>369</v>
      </c>
      <c r="I175" s="80">
        <f t="shared" si="117"/>
        <v>19</v>
      </c>
    </row>
    <row r="176" spans="1:9" ht="13.2">
      <c r="C176" s="1">
        <f t="shared" si="118"/>
        <v>-15</v>
      </c>
      <c r="D176" s="1">
        <v>4177</v>
      </c>
      <c r="E176" s="80">
        <f t="shared" si="115"/>
        <v>65</v>
      </c>
      <c r="F176" s="1">
        <v>4891</v>
      </c>
      <c r="G176" s="80">
        <f t="shared" si="116"/>
        <v>70</v>
      </c>
      <c r="H176" s="1">
        <v>360</v>
      </c>
      <c r="I176" s="80">
        <f t="shared" si="117"/>
        <v>19</v>
      </c>
    </row>
    <row r="177" spans="1:16" ht="13.2">
      <c r="C177" s="1">
        <f t="shared" si="118"/>
        <v>-10</v>
      </c>
      <c r="D177" s="1">
        <v>4148</v>
      </c>
      <c r="E177" s="80">
        <f t="shared" si="115"/>
        <v>64</v>
      </c>
      <c r="F177" s="1">
        <v>4864</v>
      </c>
      <c r="G177" s="80">
        <f t="shared" si="116"/>
        <v>70</v>
      </c>
      <c r="H177" s="1">
        <v>246</v>
      </c>
      <c r="I177" s="80">
        <f t="shared" si="117"/>
        <v>16</v>
      </c>
    </row>
    <row r="178" spans="1:16" ht="13.2">
      <c r="C178" s="1">
        <f t="shared" si="118"/>
        <v>-5</v>
      </c>
      <c r="D178" s="1">
        <v>4141</v>
      </c>
      <c r="E178" s="80">
        <f t="shared" si="115"/>
        <v>64</v>
      </c>
      <c r="F178" s="1">
        <v>4784</v>
      </c>
      <c r="G178" s="80">
        <f t="shared" si="116"/>
        <v>69</v>
      </c>
      <c r="H178" s="1">
        <v>143</v>
      </c>
      <c r="I178" s="80">
        <f t="shared" si="117"/>
        <v>12</v>
      </c>
    </row>
    <row r="179" spans="1:16" ht="13.2">
      <c r="C179" s="1">
        <f t="shared" si="118"/>
        <v>0</v>
      </c>
      <c r="D179" s="1">
        <v>4141</v>
      </c>
      <c r="E179" s="80">
        <f t="shared" si="115"/>
        <v>64</v>
      </c>
      <c r="F179" s="1">
        <v>4788</v>
      </c>
      <c r="G179" s="80">
        <f t="shared" si="116"/>
        <v>69</v>
      </c>
      <c r="H179" s="1">
        <v>108</v>
      </c>
      <c r="I179" s="80">
        <f t="shared" si="117"/>
        <v>10</v>
      </c>
    </row>
    <row r="180" spans="1:16" ht="13.2">
      <c r="C180" s="1">
        <f t="shared" si="118"/>
        <v>5</v>
      </c>
      <c r="D180" s="1">
        <v>4254</v>
      </c>
      <c r="E180" s="80">
        <f t="shared" si="115"/>
        <v>65</v>
      </c>
      <c r="F180" s="1">
        <v>4757</v>
      </c>
      <c r="G180" s="80">
        <f t="shared" si="116"/>
        <v>69</v>
      </c>
      <c r="H180" s="1">
        <v>192</v>
      </c>
      <c r="I180" s="80">
        <f t="shared" si="117"/>
        <v>14</v>
      </c>
    </row>
    <row r="181" spans="1:16" ht="13.2">
      <c r="C181" s="1">
        <f t="shared" si="118"/>
        <v>10</v>
      </c>
      <c r="D181" s="1">
        <v>4202</v>
      </c>
      <c r="E181" s="80">
        <f t="shared" si="115"/>
        <v>65</v>
      </c>
      <c r="F181" s="1">
        <v>4810</v>
      </c>
      <c r="G181" s="80">
        <f t="shared" si="116"/>
        <v>69</v>
      </c>
      <c r="H181" s="1">
        <v>202</v>
      </c>
      <c r="I181" s="80">
        <f t="shared" si="117"/>
        <v>14</v>
      </c>
    </row>
    <row r="182" spans="1:16" ht="13.2">
      <c r="C182" s="1">
        <f t="shared" si="118"/>
        <v>15</v>
      </c>
      <c r="D182" s="1">
        <v>4130</v>
      </c>
      <c r="E182" s="80">
        <f t="shared" si="115"/>
        <v>64</v>
      </c>
      <c r="F182" s="1">
        <v>4720</v>
      </c>
      <c r="G182" s="80">
        <f t="shared" si="116"/>
        <v>69</v>
      </c>
      <c r="H182" s="1">
        <v>99</v>
      </c>
      <c r="I182" s="80">
        <f t="shared" si="117"/>
        <v>10</v>
      </c>
    </row>
    <row r="183" spans="1:16" ht="13.2">
      <c r="C183" s="1">
        <f t="shared" si="118"/>
        <v>20</v>
      </c>
      <c r="D183" s="1">
        <v>4217</v>
      </c>
      <c r="E183" s="80">
        <f t="shared" si="115"/>
        <v>65</v>
      </c>
      <c r="F183" s="1">
        <v>4753</v>
      </c>
      <c r="G183" s="80">
        <f t="shared" si="116"/>
        <v>69</v>
      </c>
      <c r="H183" s="1">
        <v>14</v>
      </c>
      <c r="I183" s="80">
        <f t="shared" si="117"/>
        <v>4</v>
      </c>
    </row>
    <row r="184" spans="1:16" ht="13.2">
      <c r="C184" s="1">
        <f t="shared" si="118"/>
        <v>25</v>
      </c>
      <c r="D184" s="1">
        <v>4197</v>
      </c>
      <c r="E184" s="80">
        <f t="shared" si="115"/>
        <v>65</v>
      </c>
      <c r="F184" s="1">
        <v>4456</v>
      </c>
      <c r="G184" s="80">
        <f t="shared" si="116"/>
        <v>67</v>
      </c>
      <c r="H184" s="1">
        <v>6</v>
      </c>
      <c r="I184" s="80">
        <f t="shared" si="117"/>
        <v>2</v>
      </c>
    </row>
    <row r="185" spans="1:16" ht="13.2">
      <c r="C185" s="1">
        <f t="shared" si="118"/>
        <v>30</v>
      </c>
      <c r="D185" s="1">
        <v>4114</v>
      </c>
      <c r="E185" s="80">
        <f t="shared" si="115"/>
        <v>64</v>
      </c>
      <c r="F185" s="1">
        <v>4514</v>
      </c>
      <c r="G185" s="80">
        <f t="shared" si="116"/>
        <v>67</v>
      </c>
      <c r="H185" s="1">
        <v>2</v>
      </c>
      <c r="I185" s="80">
        <f t="shared" si="117"/>
        <v>1</v>
      </c>
    </row>
    <row r="186" spans="1:16" ht="13.2">
      <c r="A186" s="21" t="s">
        <v>99</v>
      </c>
      <c r="B186" s="21">
        <f>B172+15</f>
        <v>195</v>
      </c>
      <c r="C186" s="15" t="s">
        <v>38</v>
      </c>
      <c r="D186" s="15" t="s">
        <v>219</v>
      </c>
      <c r="E186" s="15" t="s">
        <v>44</v>
      </c>
      <c r="F186" s="15" t="s">
        <v>48</v>
      </c>
      <c r="G186" s="15" t="s">
        <v>44</v>
      </c>
      <c r="H186" s="15" t="s">
        <v>49</v>
      </c>
      <c r="I186" s="15" t="s">
        <v>44</v>
      </c>
      <c r="K186" s="1" t="s">
        <v>220</v>
      </c>
      <c r="L186" s="1" t="s">
        <v>221</v>
      </c>
      <c r="N186" s="1" t="s">
        <v>183</v>
      </c>
      <c r="O186" s="15" t="s">
        <v>49</v>
      </c>
      <c r="P186" s="15" t="s">
        <v>44</v>
      </c>
    </row>
    <row r="187" spans="1:16" ht="13.2">
      <c r="C187" s="1">
        <v>-30</v>
      </c>
      <c r="D187" s="1">
        <v>4120</v>
      </c>
      <c r="E187" s="84">
        <f t="shared" ref="E187:E199" si="119">ROUND(SQRT(D187),0)</f>
        <v>64</v>
      </c>
      <c r="F187" s="1">
        <v>4608</v>
      </c>
      <c r="G187" s="84">
        <f t="shared" ref="G187:G199" si="120">ROUND(SQRT(F187),0)</f>
        <v>68</v>
      </c>
      <c r="H187" s="1">
        <v>90</v>
      </c>
      <c r="I187" s="84">
        <f t="shared" ref="I187:I199" si="121">ROUND(SQRT(H187),0)</f>
        <v>9</v>
      </c>
      <c r="K187" s="1">
        <f>B186</f>
        <v>195</v>
      </c>
      <c r="L187" s="1">
        <f t="shared" ref="L187:L199" si="122">H187*$F$356/$F$359</f>
        <v>98.277232971110521</v>
      </c>
      <c r="M187" s="1">
        <f t="shared" ref="M187:M199" si="123">ABS($F$356/$F$359)*I187 + ABS(H187/$F$359)*$G$356+ ABS(H187*$F$356/$F$359/$F$359)*$G$359</f>
        <v>12.943257675917769</v>
      </c>
      <c r="O187" s="1">
        <f t="shared" ref="O187:O199" si="124">ROUND(L187,N187)</f>
        <v>98</v>
      </c>
      <c r="P187" s="1">
        <f t="shared" ref="P187:P199" si="125">ROUND(M187,N187)</f>
        <v>13</v>
      </c>
    </row>
    <row r="188" spans="1:16" ht="13.2">
      <c r="C188" s="1">
        <f t="shared" ref="C188:C199" si="126">C187+5</f>
        <v>-25</v>
      </c>
      <c r="D188" s="1">
        <v>4144</v>
      </c>
      <c r="E188" s="84">
        <f t="shared" si="119"/>
        <v>64</v>
      </c>
      <c r="F188" s="1">
        <v>4569</v>
      </c>
      <c r="G188" s="84">
        <f t="shared" si="120"/>
        <v>68</v>
      </c>
      <c r="H188" s="1">
        <v>215</v>
      </c>
      <c r="I188" s="84">
        <f t="shared" si="121"/>
        <v>15</v>
      </c>
      <c r="L188" s="1">
        <f t="shared" si="122"/>
        <v>234.77338987543069</v>
      </c>
      <c r="M188" s="1">
        <f t="shared" si="123"/>
        <v>23.822204289001135</v>
      </c>
      <c r="O188" s="1">
        <f t="shared" si="124"/>
        <v>235</v>
      </c>
      <c r="P188" s="1">
        <f t="shared" si="125"/>
        <v>24</v>
      </c>
    </row>
    <row r="189" spans="1:16" ht="13.2">
      <c r="C189" s="1">
        <f t="shared" si="126"/>
        <v>-20</v>
      </c>
      <c r="D189" s="1">
        <v>4171</v>
      </c>
      <c r="E189" s="84">
        <f t="shared" si="119"/>
        <v>65</v>
      </c>
      <c r="F189" s="1">
        <v>4594</v>
      </c>
      <c r="G189" s="84">
        <f t="shared" si="120"/>
        <v>68</v>
      </c>
      <c r="H189" s="1">
        <v>361</v>
      </c>
      <c r="I189" s="84">
        <f t="shared" si="121"/>
        <v>19</v>
      </c>
      <c r="L189" s="1">
        <f t="shared" si="122"/>
        <v>394.20090113967666</v>
      </c>
      <c r="M189" s="1">
        <f t="shared" si="123"/>
        <v>33.244170413336946</v>
      </c>
      <c r="O189" s="1">
        <f t="shared" si="124"/>
        <v>394</v>
      </c>
      <c r="P189" s="1">
        <f t="shared" si="125"/>
        <v>33</v>
      </c>
    </row>
    <row r="190" spans="1:16" ht="13.2">
      <c r="C190" s="1">
        <f t="shared" si="126"/>
        <v>-15</v>
      </c>
      <c r="D190" s="1">
        <v>4249</v>
      </c>
      <c r="E190" s="84">
        <f t="shared" si="119"/>
        <v>65</v>
      </c>
      <c r="F190" s="1">
        <v>4562</v>
      </c>
      <c r="G190" s="84">
        <f t="shared" si="120"/>
        <v>68</v>
      </c>
      <c r="H190" s="1">
        <v>409</v>
      </c>
      <c r="I190" s="84">
        <f t="shared" si="121"/>
        <v>20</v>
      </c>
      <c r="L190" s="1">
        <f t="shared" si="122"/>
        <v>446.61542539093557</v>
      </c>
      <c r="M190" s="1">
        <f t="shared" si="123"/>
        <v>35.997758003935083</v>
      </c>
      <c r="O190" s="1">
        <f t="shared" si="124"/>
        <v>447</v>
      </c>
      <c r="P190" s="1">
        <f t="shared" si="125"/>
        <v>36</v>
      </c>
    </row>
    <row r="191" spans="1:16" ht="13.2">
      <c r="C191" s="1">
        <f t="shared" si="126"/>
        <v>-10</v>
      </c>
      <c r="D191" s="1">
        <v>4096</v>
      </c>
      <c r="E191" s="84">
        <f t="shared" si="119"/>
        <v>64</v>
      </c>
      <c r="F191" s="1">
        <v>4541</v>
      </c>
      <c r="G191" s="84">
        <f t="shared" si="120"/>
        <v>67</v>
      </c>
      <c r="H191" s="1">
        <v>239</v>
      </c>
      <c r="I191" s="84">
        <f t="shared" si="121"/>
        <v>15</v>
      </c>
      <c r="L191" s="1">
        <f t="shared" si="122"/>
        <v>260.98065200106015</v>
      </c>
      <c r="M191" s="1">
        <f t="shared" si="123"/>
        <v>24.65301345668292</v>
      </c>
      <c r="O191" s="1">
        <f t="shared" si="124"/>
        <v>261</v>
      </c>
      <c r="P191" s="1">
        <f t="shared" si="125"/>
        <v>25</v>
      </c>
    </row>
    <row r="192" spans="1:16" ht="13.2">
      <c r="C192" s="1">
        <f t="shared" si="126"/>
        <v>-5</v>
      </c>
      <c r="D192" s="1">
        <v>4151</v>
      </c>
      <c r="E192" s="84">
        <f t="shared" si="119"/>
        <v>64</v>
      </c>
      <c r="F192" s="1">
        <v>4674</v>
      </c>
      <c r="G192" s="84">
        <f t="shared" si="120"/>
        <v>68</v>
      </c>
      <c r="H192" s="1">
        <v>87</v>
      </c>
      <c r="I192" s="84">
        <f t="shared" si="121"/>
        <v>9</v>
      </c>
      <c r="L192" s="1">
        <f t="shared" si="122"/>
        <v>95.001325205406843</v>
      </c>
      <c r="M192" s="1">
        <f t="shared" si="123"/>
        <v>12.839406529957545</v>
      </c>
      <c r="O192" s="1">
        <f t="shared" si="124"/>
        <v>95</v>
      </c>
      <c r="P192" s="1">
        <f t="shared" si="125"/>
        <v>13</v>
      </c>
    </row>
    <row r="193" spans="1:16" ht="13.2">
      <c r="C193" s="1">
        <f t="shared" si="126"/>
        <v>0</v>
      </c>
      <c r="D193" s="1">
        <v>4090</v>
      </c>
      <c r="E193" s="84">
        <f t="shared" si="119"/>
        <v>64</v>
      </c>
      <c r="F193" s="1">
        <v>4530</v>
      </c>
      <c r="G193" s="84">
        <f t="shared" si="120"/>
        <v>67</v>
      </c>
      <c r="H193" s="1">
        <v>55</v>
      </c>
      <c r="I193" s="84">
        <f t="shared" si="121"/>
        <v>7</v>
      </c>
      <c r="L193" s="1">
        <f t="shared" si="122"/>
        <v>60.058309037900877</v>
      </c>
      <c r="M193" s="1">
        <f t="shared" si="123"/>
        <v>9.5477224625793689</v>
      </c>
      <c r="O193" s="1">
        <f t="shared" si="124"/>
        <v>60</v>
      </c>
      <c r="P193" s="1">
        <f t="shared" si="125"/>
        <v>10</v>
      </c>
    </row>
    <row r="194" spans="1:16" ht="13.2">
      <c r="C194" s="1">
        <f t="shared" si="126"/>
        <v>5</v>
      </c>
      <c r="D194" s="1">
        <v>4173</v>
      </c>
      <c r="E194" s="84">
        <f t="shared" si="119"/>
        <v>65</v>
      </c>
      <c r="F194" s="1">
        <v>4434</v>
      </c>
      <c r="G194" s="84">
        <f t="shared" si="120"/>
        <v>67</v>
      </c>
      <c r="H194" s="1">
        <v>113</v>
      </c>
      <c r="I194" s="84">
        <f t="shared" si="121"/>
        <v>11</v>
      </c>
      <c r="L194" s="1">
        <f t="shared" si="122"/>
        <v>123.39252584150543</v>
      </c>
      <c r="M194" s="1">
        <f t="shared" si="123"/>
        <v>15.923388305415276</v>
      </c>
      <c r="O194" s="1">
        <f t="shared" si="124"/>
        <v>123</v>
      </c>
      <c r="P194" s="1">
        <f t="shared" si="125"/>
        <v>16</v>
      </c>
    </row>
    <row r="195" spans="1:16" ht="13.2">
      <c r="C195" s="1">
        <f t="shared" si="126"/>
        <v>10</v>
      </c>
      <c r="D195" s="1">
        <v>4152</v>
      </c>
      <c r="E195" s="84">
        <f t="shared" si="119"/>
        <v>64</v>
      </c>
      <c r="F195" s="1">
        <v>4438</v>
      </c>
      <c r="G195" s="84">
        <f t="shared" si="120"/>
        <v>67</v>
      </c>
      <c r="H195" s="1">
        <v>201</v>
      </c>
      <c r="I195" s="84">
        <f t="shared" si="121"/>
        <v>14</v>
      </c>
      <c r="L195" s="1">
        <f t="shared" si="122"/>
        <v>219.48582030214683</v>
      </c>
      <c r="M195" s="1">
        <f t="shared" si="123"/>
        <v>22.245596352618861</v>
      </c>
      <c r="O195" s="1">
        <f t="shared" si="124"/>
        <v>219</v>
      </c>
      <c r="P195" s="1">
        <f t="shared" si="125"/>
        <v>22</v>
      </c>
    </row>
    <row r="196" spans="1:16" ht="13.2">
      <c r="C196" s="1">
        <f t="shared" si="126"/>
        <v>15</v>
      </c>
      <c r="D196" s="1">
        <v>4175</v>
      </c>
      <c r="E196" s="84">
        <f t="shared" si="119"/>
        <v>65</v>
      </c>
      <c r="F196" s="1">
        <v>4424</v>
      </c>
      <c r="G196" s="84">
        <f t="shared" si="120"/>
        <v>67</v>
      </c>
      <c r="H196" s="1">
        <v>176</v>
      </c>
      <c r="I196" s="84">
        <f t="shared" si="121"/>
        <v>13</v>
      </c>
      <c r="L196" s="1">
        <f t="shared" si="122"/>
        <v>192.18658892128281</v>
      </c>
      <c r="M196" s="1">
        <f t="shared" si="123"/>
        <v>20.2882008810491</v>
      </c>
      <c r="O196" s="1">
        <f t="shared" si="124"/>
        <v>192</v>
      </c>
      <c r="P196" s="1">
        <f t="shared" si="125"/>
        <v>20</v>
      </c>
    </row>
    <row r="197" spans="1:16" ht="13.2">
      <c r="C197" s="1">
        <f t="shared" si="126"/>
        <v>20</v>
      </c>
      <c r="D197" s="1">
        <v>4271</v>
      </c>
      <c r="E197" s="84">
        <f t="shared" si="119"/>
        <v>65</v>
      </c>
      <c r="F197" s="1">
        <v>4489</v>
      </c>
      <c r="G197" s="84">
        <f t="shared" si="120"/>
        <v>67</v>
      </c>
      <c r="H197" s="1">
        <v>106</v>
      </c>
      <c r="I197" s="84">
        <f t="shared" si="121"/>
        <v>10</v>
      </c>
      <c r="L197" s="1">
        <f t="shared" si="122"/>
        <v>115.7487410548635</v>
      </c>
      <c r="M197" s="1">
        <f t="shared" si="123"/>
        <v>14.589099709606858</v>
      </c>
      <c r="O197" s="1">
        <f t="shared" si="124"/>
        <v>116</v>
      </c>
      <c r="P197" s="1">
        <f t="shared" si="125"/>
        <v>15</v>
      </c>
    </row>
    <row r="198" spans="1:16" ht="13.2">
      <c r="C198" s="1">
        <f t="shared" si="126"/>
        <v>25</v>
      </c>
      <c r="D198" s="1">
        <v>4188</v>
      </c>
      <c r="E198" s="84">
        <f t="shared" si="119"/>
        <v>65</v>
      </c>
      <c r="F198" s="1">
        <v>4499</v>
      </c>
      <c r="G198" s="84">
        <f t="shared" si="120"/>
        <v>67</v>
      </c>
      <c r="H198" s="1">
        <v>12</v>
      </c>
      <c r="I198" s="84">
        <f t="shared" si="121"/>
        <v>3</v>
      </c>
      <c r="L198" s="1">
        <f t="shared" si="122"/>
        <v>13.103631062814737</v>
      </c>
      <c r="M198" s="1">
        <f t="shared" si="123"/>
        <v>3.6913123495445799</v>
      </c>
      <c r="O198" s="1">
        <f t="shared" si="124"/>
        <v>13</v>
      </c>
      <c r="P198" s="1">
        <f t="shared" si="125"/>
        <v>4</v>
      </c>
    </row>
    <row r="199" spans="1:16" ht="13.2">
      <c r="C199" s="1">
        <f t="shared" si="126"/>
        <v>30</v>
      </c>
      <c r="D199" s="1">
        <v>4129</v>
      </c>
      <c r="E199" s="84">
        <f t="shared" si="119"/>
        <v>64</v>
      </c>
      <c r="F199" s="1">
        <v>4510</v>
      </c>
      <c r="G199" s="84">
        <f t="shared" si="120"/>
        <v>67</v>
      </c>
      <c r="H199" s="1">
        <v>7</v>
      </c>
      <c r="I199" s="84">
        <f t="shared" si="121"/>
        <v>3</v>
      </c>
      <c r="L199" s="1">
        <f t="shared" si="122"/>
        <v>7.6437847866419295</v>
      </c>
      <c r="M199" s="1">
        <f t="shared" si="123"/>
        <v>3.5182271062775401</v>
      </c>
      <c r="O199" s="1">
        <f t="shared" si="124"/>
        <v>8</v>
      </c>
      <c r="P199" s="1">
        <f t="shared" si="125"/>
        <v>4</v>
      </c>
    </row>
    <row r="200" spans="1:16" ht="13.2">
      <c r="A200" s="21" t="s">
        <v>99</v>
      </c>
      <c r="B200" s="21">
        <f>B186+15</f>
        <v>210</v>
      </c>
      <c r="C200" s="15" t="s">
        <v>38</v>
      </c>
      <c r="D200" s="15" t="s">
        <v>47</v>
      </c>
      <c r="E200" s="15" t="s">
        <v>44</v>
      </c>
      <c r="F200" s="15" t="s">
        <v>48</v>
      </c>
      <c r="G200" s="15" t="s">
        <v>44</v>
      </c>
      <c r="H200" s="15" t="s">
        <v>49</v>
      </c>
      <c r="I200" s="15" t="s">
        <v>44</v>
      </c>
    </row>
    <row r="201" spans="1:16" ht="13.2">
      <c r="C201" s="1">
        <v>-30</v>
      </c>
      <c r="D201" s="1">
        <v>3701</v>
      </c>
      <c r="E201" s="80">
        <f t="shared" ref="E201:E213" si="127">ROUND(SQRT(D201),0)</f>
        <v>61</v>
      </c>
      <c r="F201" s="1">
        <v>5132</v>
      </c>
      <c r="G201" s="80">
        <f t="shared" ref="G201:G213" si="128">ROUND(SQRT(F201),0)</f>
        <v>72</v>
      </c>
      <c r="H201" s="1">
        <v>66</v>
      </c>
      <c r="I201" s="80">
        <f t="shared" ref="I201:I213" si="129">ROUND(SQRT(H201),0)</f>
        <v>8</v>
      </c>
    </row>
    <row r="202" spans="1:16" ht="13.2">
      <c r="C202" s="1">
        <f t="shared" ref="C202:C213" si="130">C201+5</f>
        <v>-25</v>
      </c>
      <c r="D202" s="1">
        <v>3661</v>
      </c>
      <c r="E202" s="80">
        <f t="shared" si="127"/>
        <v>61</v>
      </c>
      <c r="F202" s="1">
        <v>5211</v>
      </c>
      <c r="G202" s="80">
        <f t="shared" si="128"/>
        <v>72</v>
      </c>
      <c r="H202" s="1">
        <v>219</v>
      </c>
      <c r="I202" s="80">
        <f t="shared" si="129"/>
        <v>15</v>
      </c>
    </row>
    <row r="203" spans="1:16" ht="13.2">
      <c r="C203" s="1">
        <f t="shared" si="130"/>
        <v>-20</v>
      </c>
      <c r="D203" s="1">
        <v>3751</v>
      </c>
      <c r="E203" s="80">
        <f t="shared" si="127"/>
        <v>61</v>
      </c>
      <c r="F203" s="1">
        <v>5188</v>
      </c>
      <c r="G203" s="80">
        <f t="shared" si="128"/>
        <v>72</v>
      </c>
      <c r="H203" s="1">
        <v>379</v>
      </c>
      <c r="I203" s="80">
        <f t="shared" si="129"/>
        <v>19</v>
      </c>
    </row>
    <row r="204" spans="1:16" ht="13.2">
      <c r="C204" s="1">
        <f t="shared" si="130"/>
        <v>-15</v>
      </c>
      <c r="D204" s="1">
        <v>3749</v>
      </c>
      <c r="E204" s="80">
        <f t="shared" si="127"/>
        <v>61</v>
      </c>
      <c r="F204" s="1">
        <v>5133</v>
      </c>
      <c r="G204" s="80">
        <f t="shared" si="128"/>
        <v>72</v>
      </c>
      <c r="H204" s="1">
        <v>382</v>
      </c>
      <c r="I204" s="80">
        <f t="shared" si="129"/>
        <v>20</v>
      </c>
    </row>
    <row r="205" spans="1:16" ht="13.2">
      <c r="C205" s="1">
        <f t="shared" si="130"/>
        <v>-10</v>
      </c>
      <c r="D205" s="1">
        <v>3657</v>
      </c>
      <c r="E205" s="80">
        <f t="shared" si="127"/>
        <v>60</v>
      </c>
      <c r="F205" s="1">
        <v>5202</v>
      </c>
      <c r="G205" s="80">
        <f t="shared" si="128"/>
        <v>72</v>
      </c>
      <c r="H205" s="1">
        <v>186</v>
      </c>
      <c r="I205" s="80">
        <f t="shared" si="129"/>
        <v>14</v>
      </c>
    </row>
    <row r="206" spans="1:16" ht="13.2">
      <c r="C206" s="1">
        <f t="shared" si="130"/>
        <v>-5</v>
      </c>
      <c r="D206" s="1">
        <v>3802</v>
      </c>
      <c r="E206" s="80">
        <f t="shared" si="127"/>
        <v>62</v>
      </c>
      <c r="F206" s="1">
        <v>4891</v>
      </c>
      <c r="G206" s="80">
        <f t="shared" si="128"/>
        <v>70</v>
      </c>
      <c r="H206" s="1">
        <v>63</v>
      </c>
      <c r="I206" s="80">
        <f t="shared" si="129"/>
        <v>8</v>
      </c>
    </row>
    <row r="207" spans="1:16" ht="13.2">
      <c r="C207" s="1">
        <f t="shared" si="130"/>
        <v>0</v>
      </c>
      <c r="D207" s="1">
        <v>3715</v>
      </c>
      <c r="E207" s="80">
        <f t="shared" si="127"/>
        <v>61</v>
      </c>
      <c r="F207" s="1">
        <v>4888</v>
      </c>
      <c r="G207" s="80">
        <f t="shared" si="128"/>
        <v>70</v>
      </c>
      <c r="H207" s="1">
        <v>21</v>
      </c>
      <c r="I207" s="80">
        <f t="shared" si="129"/>
        <v>5</v>
      </c>
    </row>
    <row r="208" spans="1:16" ht="13.2">
      <c r="C208" s="1">
        <f t="shared" si="130"/>
        <v>5</v>
      </c>
      <c r="D208" s="1">
        <v>3717</v>
      </c>
      <c r="E208" s="80">
        <f t="shared" si="127"/>
        <v>61</v>
      </c>
      <c r="F208" s="1">
        <v>5010</v>
      </c>
      <c r="G208" s="80">
        <f t="shared" si="128"/>
        <v>71</v>
      </c>
      <c r="H208" s="1">
        <v>79</v>
      </c>
      <c r="I208" s="80">
        <f t="shared" si="129"/>
        <v>9</v>
      </c>
    </row>
    <row r="209" spans="1:9" ht="13.2">
      <c r="C209" s="1">
        <f t="shared" si="130"/>
        <v>10</v>
      </c>
      <c r="D209" s="1">
        <v>3856</v>
      </c>
      <c r="E209" s="80">
        <f t="shared" si="127"/>
        <v>62</v>
      </c>
      <c r="F209" s="1">
        <v>4780</v>
      </c>
      <c r="G209" s="80">
        <f t="shared" si="128"/>
        <v>69</v>
      </c>
      <c r="H209" s="1">
        <v>167</v>
      </c>
      <c r="I209" s="80">
        <f t="shared" si="129"/>
        <v>13</v>
      </c>
    </row>
    <row r="210" spans="1:9" ht="13.2">
      <c r="C210" s="1">
        <f t="shared" si="130"/>
        <v>15</v>
      </c>
      <c r="D210" s="1">
        <v>3715</v>
      </c>
      <c r="E210" s="80">
        <f t="shared" si="127"/>
        <v>61</v>
      </c>
      <c r="F210" s="1">
        <v>4835</v>
      </c>
      <c r="G210" s="80">
        <f t="shared" si="128"/>
        <v>70</v>
      </c>
      <c r="H210" s="1">
        <v>189</v>
      </c>
      <c r="I210" s="80">
        <f t="shared" si="129"/>
        <v>14</v>
      </c>
    </row>
    <row r="211" spans="1:9" ht="13.2">
      <c r="C211" s="1">
        <f t="shared" si="130"/>
        <v>20</v>
      </c>
      <c r="D211" s="1">
        <v>3718</v>
      </c>
      <c r="E211" s="80">
        <f t="shared" si="127"/>
        <v>61</v>
      </c>
      <c r="F211" s="1">
        <v>4840</v>
      </c>
      <c r="G211" s="80">
        <f t="shared" si="128"/>
        <v>70</v>
      </c>
      <c r="H211" s="1">
        <v>148</v>
      </c>
      <c r="I211" s="80">
        <f t="shared" si="129"/>
        <v>12</v>
      </c>
    </row>
    <row r="212" spans="1:9" ht="13.2">
      <c r="C212" s="1">
        <f t="shared" si="130"/>
        <v>25</v>
      </c>
      <c r="D212" s="1">
        <v>3838</v>
      </c>
      <c r="E212" s="80">
        <f t="shared" si="127"/>
        <v>62</v>
      </c>
      <c r="F212" s="1">
        <v>4886</v>
      </c>
      <c r="G212" s="80">
        <f t="shared" si="128"/>
        <v>70</v>
      </c>
      <c r="H212" s="1">
        <v>54</v>
      </c>
      <c r="I212" s="80">
        <f t="shared" si="129"/>
        <v>7</v>
      </c>
    </row>
    <row r="213" spans="1:9" ht="13.2">
      <c r="C213" s="1">
        <f t="shared" si="130"/>
        <v>30</v>
      </c>
      <c r="D213" s="1">
        <v>3727</v>
      </c>
      <c r="E213" s="80">
        <f t="shared" si="127"/>
        <v>61</v>
      </c>
      <c r="F213" s="1">
        <v>4864</v>
      </c>
      <c r="G213" s="80">
        <f t="shared" si="128"/>
        <v>70</v>
      </c>
      <c r="H213" s="1">
        <v>5</v>
      </c>
      <c r="I213" s="80">
        <f t="shared" si="129"/>
        <v>2</v>
      </c>
    </row>
    <row r="214" spans="1:9" ht="13.2">
      <c r="A214" s="21" t="s">
        <v>99</v>
      </c>
      <c r="B214" s="21">
        <f>B200+15</f>
        <v>225</v>
      </c>
      <c r="C214" s="15" t="s">
        <v>38</v>
      </c>
      <c r="D214" s="15" t="s">
        <v>47</v>
      </c>
      <c r="E214" s="15" t="s">
        <v>44</v>
      </c>
      <c r="F214" s="15" t="s">
        <v>48</v>
      </c>
      <c r="G214" s="15" t="s">
        <v>44</v>
      </c>
      <c r="H214" s="15" t="s">
        <v>49</v>
      </c>
      <c r="I214" s="15" t="s">
        <v>44</v>
      </c>
    </row>
    <row r="215" spans="1:9" ht="13.2">
      <c r="C215" s="1">
        <v>-30</v>
      </c>
      <c r="D215" s="1">
        <v>3546</v>
      </c>
      <c r="E215" s="80">
        <f t="shared" ref="E215:E227" si="131">ROUND(SQRT(D215),0)</f>
        <v>60</v>
      </c>
      <c r="F215" s="1">
        <v>5470</v>
      </c>
      <c r="G215" s="80">
        <f t="shared" ref="G215:G227" si="132">ROUND(SQRT(F215),0)</f>
        <v>74</v>
      </c>
      <c r="H215" s="1">
        <v>39</v>
      </c>
      <c r="I215" s="80">
        <f t="shared" ref="I215:I227" si="133">ROUND(SQRT(H215),0)</f>
        <v>6</v>
      </c>
    </row>
    <row r="216" spans="1:9" ht="13.2">
      <c r="C216" s="1">
        <f t="shared" ref="C216:C227" si="134">C215+5</f>
        <v>-25</v>
      </c>
      <c r="D216" s="1">
        <v>3683</v>
      </c>
      <c r="E216" s="80">
        <f t="shared" si="131"/>
        <v>61</v>
      </c>
      <c r="F216" s="1">
        <v>5417</v>
      </c>
      <c r="G216" s="80">
        <f t="shared" si="132"/>
        <v>74</v>
      </c>
      <c r="H216" s="1">
        <v>154</v>
      </c>
      <c r="I216" s="80">
        <f t="shared" si="133"/>
        <v>12</v>
      </c>
    </row>
    <row r="217" spans="1:9" ht="13.2">
      <c r="C217" s="1">
        <f t="shared" si="134"/>
        <v>-20</v>
      </c>
      <c r="D217" s="1">
        <v>3643</v>
      </c>
      <c r="E217" s="80">
        <f t="shared" si="131"/>
        <v>60</v>
      </c>
      <c r="F217" s="1">
        <v>5344</v>
      </c>
      <c r="G217" s="80">
        <f t="shared" si="132"/>
        <v>73</v>
      </c>
      <c r="H217" s="1">
        <v>300</v>
      </c>
      <c r="I217" s="80">
        <f t="shared" si="133"/>
        <v>17</v>
      </c>
    </row>
    <row r="218" spans="1:9" ht="13.2">
      <c r="C218" s="1">
        <f t="shared" si="134"/>
        <v>-15</v>
      </c>
      <c r="D218" s="1">
        <v>3696</v>
      </c>
      <c r="E218" s="80">
        <f t="shared" si="131"/>
        <v>61</v>
      </c>
      <c r="F218" s="1">
        <v>5277</v>
      </c>
      <c r="G218" s="80">
        <f t="shared" si="132"/>
        <v>73</v>
      </c>
      <c r="H218" s="1">
        <v>406</v>
      </c>
      <c r="I218" s="80">
        <f t="shared" si="133"/>
        <v>20</v>
      </c>
    </row>
    <row r="219" spans="1:9" ht="13.2">
      <c r="C219" s="1">
        <f t="shared" si="134"/>
        <v>-10</v>
      </c>
      <c r="D219" s="1">
        <v>3622</v>
      </c>
      <c r="E219" s="80">
        <f t="shared" si="131"/>
        <v>60</v>
      </c>
      <c r="F219" s="1">
        <v>5264</v>
      </c>
      <c r="G219" s="80">
        <f t="shared" si="132"/>
        <v>73</v>
      </c>
      <c r="H219" s="1">
        <v>262</v>
      </c>
      <c r="I219" s="80">
        <f t="shared" si="133"/>
        <v>16</v>
      </c>
    </row>
    <row r="220" spans="1:9" ht="13.2">
      <c r="C220" s="1">
        <f t="shared" si="134"/>
        <v>-5</v>
      </c>
      <c r="D220" s="1">
        <v>3553</v>
      </c>
      <c r="E220" s="80">
        <f t="shared" si="131"/>
        <v>60</v>
      </c>
      <c r="F220" s="1">
        <v>5157</v>
      </c>
      <c r="G220" s="80">
        <f t="shared" si="132"/>
        <v>72</v>
      </c>
      <c r="H220" s="1">
        <v>98</v>
      </c>
      <c r="I220" s="80">
        <f t="shared" si="133"/>
        <v>10</v>
      </c>
    </row>
    <row r="221" spans="1:9" ht="13.2">
      <c r="C221" s="1">
        <f t="shared" si="134"/>
        <v>0</v>
      </c>
      <c r="D221" s="1">
        <v>3640</v>
      </c>
      <c r="E221" s="80">
        <f t="shared" si="131"/>
        <v>60</v>
      </c>
      <c r="F221" s="1">
        <v>5057</v>
      </c>
      <c r="G221" s="80">
        <f t="shared" si="132"/>
        <v>71</v>
      </c>
      <c r="H221" s="1">
        <v>20</v>
      </c>
      <c r="I221" s="80">
        <f t="shared" si="133"/>
        <v>4</v>
      </c>
    </row>
    <row r="222" spans="1:9" ht="13.2">
      <c r="C222" s="1">
        <f t="shared" si="134"/>
        <v>5</v>
      </c>
      <c r="D222" s="1">
        <v>3564</v>
      </c>
      <c r="E222" s="80">
        <f t="shared" si="131"/>
        <v>60</v>
      </c>
      <c r="F222" s="1">
        <v>5062</v>
      </c>
      <c r="G222" s="80">
        <f t="shared" si="132"/>
        <v>71</v>
      </c>
      <c r="H222" s="1">
        <v>60</v>
      </c>
      <c r="I222" s="80">
        <f t="shared" si="133"/>
        <v>8</v>
      </c>
    </row>
    <row r="223" spans="1:9" ht="13.2">
      <c r="C223" s="1">
        <f t="shared" si="134"/>
        <v>10</v>
      </c>
      <c r="D223" s="1">
        <v>3603</v>
      </c>
      <c r="E223" s="80">
        <f t="shared" si="131"/>
        <v>60</v>
      </c>
      <c r="F223" s="1">
        <v>4918</v>
      </c>
      <c r="G223" s="80">
        <f t="shared" si="132"/>
        <v>70</v>
      </c>
      <c r="H223" s="1">
        <v>111</v>
      </c>
      <c r="I223" s="80">
        <f t="shared" si="133"/>
        <v>11</v>
      </c>
    </row>
    <row r="224" spans="1:9" ht="13.2">
      <c r="C224" s="1">
        <f t="shared" si="134"/>
        <v>15</v>
      </c>
      <c r="D224" s="1">
        <v>3650</v>
      </c>
      <c r="E224" s="80">
        <f t="shared" si="131"/>
        <v>60</v>
      </c>
      <c r="F224" s="1">
        <v>4964</v>
      </c>
      <c r="G224" s="80">
        <f t="shared" si="132"/>
        <v>70</v>
      </c>
      <c r="H224" s="1">
        <v>197</v>
      </c>
      <c r="I224" s="80">
        <f t="shared" si="133"/>
        <v>14</v>
      </c>
    </row>
    <row r="225" spans="1:17" ht="13.2">
      <c r="C225" s="1">
        <f t="shared" si="134"/>
        <v>20</v>
      </c>
      <c r="D225" s="1">
        <v>3531</v>
      </c>
      <c r="E225" s="80">
        <f t="shared" si="131"/>
        <v>59</v>
      </c>
      <c r="F225" s="1">
        <v>4975</v>
      </c>
      <c r="G225" s="80">
        <f t="shared" si="132"/>
        <v>71</v>
      </c>
      <c r="H225" s="1">
        <v>156</v>
      </c>
      <c r="I225" s="80">
        <f t="shared" si="133"/>
        <v>12</v>
      </c>
    </row>
    <row r="226" spans="1:17" ht="13.2">
      <c r="C226" s="1">
        <f t="shared" si="134"/>
        <v>25</v>
      </c>
      <c r="D226" s="1">
        <v>3508</v>
      </c>
      <c r="E226" s="80">
        <f t="shared" si="131"/>
        <v>59</v>
      </c>
      <c r="F226" s="1">
        <v>5055</v>
      </c>
      <c r="G226" s="80">
        <f t="shared" si="132"/>
        <v>71</v>
      </c>
      <c r="H226" s="1">
        <v>99</v>
      </c>
      <c r="I226" s="80">
        <f t="shared" si="133"/>
        <v>10</v>
      </c>
    </row>
    <row r="227" spans="1:17" ht="13.2">
      <c r="C227" s="1">
        <f t="shared" si="134"/>
        <v>30</v>
      </c>
      <c r="D227" s="1">
        <v>3675</v>
      </c>
      <c r="E227" s="80">
        <f t="shared" si="131"/>
        <v>61</v>
      </c>
      <c r="F227" s="1">
        <v>4718</v>
      </c>
      <c r="G227" s="80">
        <f t="shared" si="132"/>
        <v>69</v>
      </c>
      <c r="H227" s="1">
        <v>16</v>
      </c>
      <c r="I227" s="80">
        <f t="shared" si="133"/>
        <v>4</v>
      </c>
    </row>
    <row r="228" spans="1:17" ht="13.2">
      <c r="A228" s="21" t="s">
        <v>99</v>
      </c>
      <c r="B228" s="21">
        <f>B214+15</f>
        <v>240</v>
      </c>
      <c r="C228" s="15" t="s">
        <v>38</v>
      </c>
      <c r="D228" s="15" t="s">
        <v>47</v>
      </c>
      <c r="E228" s="15" t="s">
        <v>44</v>
      </c>
      <c r="F228" s="15" t="s">
        <v>48</v>
      </c>
      <c r="G228" s="15" t="s">
        <v>44</v>
      </c>
      <c r="H228" s="15" t="s">
        <v>49</v>
      </c>
      <c r="I228" s="15" t="s">
        <v>44</v>
      </c>
      <c r="N228" s="1" t="s">
        <v>183</v>
      </c>
      <c r="O228" s="15" t="s">
        <v>49</v>
      </c>
      <c r="P228" s="15" t="s">
        <v>44</v>
      </c>
    </row>
    <row r="229" spans="1:17" ht="13.2">
      <c r="C229" s="1">
        <v>-30</v>
      </c>
      <c r="D229" s="1">
        <v>3705</v>
      </c>
      <c r="E229" s="80">
        <f t="shared" ref="E229:E241" si="135">ROUND(SQRT(D229),0)</f>
        <v>61</v>
      </c>
      <c r="F229" s="1">
        <v>5009</v>
      </c>
      <c r="G229" s="80">
        <f t="shared" ref="G229:G241" si="136">ROUND(SQRT(F229),0)</f>
        <v>71</v>
      </c>
      <c r="H229" s="1">
        <v>9</v>
      </c>
      <c r="I229" s="80">
        <f t="shared" ref="I229:I241" si="137">ROUND(SQRT(H229),0)</f>
        <v>3</v>
      </c>
      <c r="K229" s="1">
        <f>B228</f>
        <v>240</v>
      </c>
      <c r="L229" s="1">
        <f t="shared" ref="L229:L241" si="138">H229*$F$356/$F$359</f>
        <v>9.8277232971110529</v>
      </c>
      <c r="M229" s="1">
        <f t="shared" ref="M229:M241" si="139">ABS($F$356/$F$359)*I229 + ABS(H229/$F$359)*$G$356+ ABS(H229*$F$356/$F$359/$F$359)*$G$359</f>
        <v>3.5874612035843563</v>
      </c>
      <c r="O229" s="1">
        <f t="shared" ref="O229:O241" si="140">ROUND(L229,N229)</f>
        <v>10</v>
      </c>
      <c r="P229" s="1">
        <f t="shared" ref="P229:P241" si="141">ROUND(M229,N229)</f>
        <v>4</v>
      </c>
      <c r="Q229" s="1" t="s">
        <v>222</v>
      </c>
    </row>
    <row r="230" spans="1:17" ht="13.2">
      <c r="C230" s="1">
        <f t="shared" ref="C230:C241" si="142">C229+5</f>
        <v>-25</v>
      </c>
      <c r="D230" s="1">
        <v>3849</v>
      </c>
      <c r="E230" s="80">
        <f t="shared" si="135"/>
        <v>62</v>
      </c>
      <c r="F230" s="1">
        <v>5066</v>
      </c>
      <c r="G230" s="80">
        <f t="shared" si="136"/>
        <v>71</v>
      </c>
      <c r="H230" s="1">
        <v>81</v>
      </c>
      <c r="I230" s="80">
        <f t="shared" si="137"/>
        <v>9</v>
      </c>
      <c r="L230" s="1">
        <f t="shared" si="138"/>
        <v>88.449509673999472</v>
      </c>
      <c r="M230" s="1">
        <f t="shared" si="139"/>
        <v>12.631704238037099</v>
      </c>
      <c r="O230" s="1">
        <f t="shared" si="140"/>
        <v>88</v>
      </c>
      <c r="P230" s="1">
        <f t="shared" si="141"/>
        <v>13</v>
      </c>
    </row>
    <row r="231" spans="1:17" ht="13.2">
      <c r="C231" s="1">
        <f t="shared" si="142"/>
        <v>-20</v>
      </c>
      <c r="D231" s="1">
        <v>3826</v>
      </c>
      <c r="E231" s="80">
        <f t="shared" si="135"/>
        <v>62</v>
      </c>
      <c r="F231" s="1">
        <v>5016</v>
      </c>
      <c r="G231" s="80">
        <f t="shared" si="136"/>
        <v>71</v>
      </c>
      <c r="H231" s="1">
        <v>213</v>
      </c>
      <c r="I231" s="80">
        <f t="shared" si="137"/>
        <v>15</v>
      </c>
      <c r="L231" s="1">
        <f t="shared" si="138"/>
        <v>232.58945136496158</v>
      </c>
      <c r="M231" s="1">
        <f t="shared" si="139"/>
        <v>23.752970191694317</v>
      </c>
      <c r="O231" s="1">
        <f t="shared" si="140"/>
        <v>233</v>
      </c>
      <c r="P231" s="1">
        <f t="shared" si="141"/>
        <v>24</v>
      </c>
    </row>
    <row r="232" spans="1:17" ht="13.2">
      <c r="C232" s="1">
        <f t="shared" si="142"/>
        <v>-15</v>
      </c>
      <c r="D232" s="1">
        <v>3725</v>
      </c>
      <c r="E232" s="80">
        <f t="shared" si="135"/>
        <v>61</v>
      </c>
      <c r="F232" s="1">
        <v>4982</v>
      </c>
      <c r="G232" s="80">
        <f t="shared" si="136"/>
        <v>71</v>
      </c>
      <c r="H232" s="1">
        <v>358</v>
      </c>
      <c r="I232" s="80">
        <f t="shared" si="137"/>
        <v>19</v>
      </c>
      <c r="L232" s="1">
        <f t="shared" si="138"/>
        <v>390.92499337397294</v>
      </c>
      <c r="M232" s="1">
        <f t="shared" si="139"/>
        <v>33.140319267376718</v>
      </c>
      <c r="O232" s="1">
        <f t="shared" si="140"/>
        <v>391</v>
      </c>
      <c r="P232" s="1">
        <f t="shared" si="141"/>
        <v>33</v>
      </c>
    </row>
    <row r="233" spans="1:17" ht="13.2">
      <c r="C233" s="1">
        <f t="shared" si="142"/>
        <v>-10</v>
      </c>
      <c r="D233" s="1">
        <v>3840</v>
      </c>
      <c r="E233" s="80">
        <f t="shared" si="135"/>
        <v>62</v>
      </c>
      <c r="F233" s="1">
        <v>4944</v>
      </c>
      <c r="G233" s="80">
        <f t="shared" si="136"/>
        <v>70</v>
      </c>
      <c r="H233" s="1">
        <v>318</v>
      </c>
      <c r="I233" s="80">
        <f t="shared" si="137"/>
        <v>18</v>
      </c>
      <c r="L233" s="1">
        <f t="shared" si="138"/>
        <v>347.2462231645905</v>
      </c>
      <c r="M233" s="1">
        <f t="shared" si="139"/>
        <v>30.663668066005837</v>
      </c>
      <c r="O233" s="1">
        <f t="shared" si="140"/>
        <v>347</v>
      </c>
      <c r="P233" s="1">
        <f t="shared" si="141"/>
        <v>31</v>
      </c>
    </row>
    <row r="234" spans="1:17" ht="13.2">
      <c r="C234" s="1">
        <f t="shared" si="142"/>
        <v>-5</v>
      </c>
      <c r="D234" s="1">
        <v>3874</v>
      </c>
      <c r="E234" s="80">
        <f t="shared" si="135"/>
        <v>62</v>
      </c>
      <c r="F234" s="1">
        <v>4727</v>
      </c>
      <c r="G234" s="80">
        <f t="shared" si="136"/>
        <v>69</v>
      </c>
      <c r="H234" s="1">
        <v>162</v>
      </c>
      <c r="I234" s="80">
        <f t="shared" si="137"/>
        <v>13</v>
      </c>
      <c r="L234" s="1">
        <f t="shared" si="138"/>
        <v>176.89901934799894</v>
      </c>
      <c r="M234" s="1">
        <f t="shared" si="139"/>
        <v>19.803562199901389</v>
      </c>
      <c r="O234" s="1">
        <f t="shared" si="140"/>
        <v>177</v>
      </c>
      <c r="P234" s="1">
        <f t="shared" si="141"/>
        <v>20</v>
      </c>
    </row>
    <row r="235" spans="1:17" ht="13.2">
      <c r="C235" s="1">
        <f t="shared" si="142"/>
        <v>0</v>
      </c>
      <c r="D235" s="1">
        <v>3764</v>
      </c>
      <c r="E235" s="80">
        <f t="shared" si="135"/>
        <v>61</v>
      </c>
      <c r="F235" s="1">
        <v>4639</v>
      </c>
      <c r="G235" s="80">
        <f t="shared" si="136"/>
        <v>68</v>
      </c>
      <c r="H235" s="1">
        <v>20</v>
      </c>
      <c r="I235" s="80">
        <f t="shared" si="137"/>
        <v>4</v>
      </c>
      <c r="L235" s="1">
        <f t="shared" si="138"/>
        <v>21.839385104691228</v>
      </c>
      <c r="M235" s="1">
        <f t="shared" si="139"/>
        <v>5.0602179940064049</v>
      </c>
      <c r="O235" s="1">
        <f t="shared" si="140"/>
        <v>22</v>
      </c>
      <c r="P235" s="1">
        <f t="shared" si="141"/>
        <v>5</v>
      </c>
    </row>
    <row r="236" spans="1:17" ht="13.2">
      <c r="C236" s="1">
        <f t="shared" si="142"/>
        <v>5</v>
      </c>
      <c r="D236" s="1">
        <v>3712</v>
      </c>
      <c r="E236" s="80">
        <f t="shared" si="135"/>
        <v>61</v>
      </c>
      <c r="F236" s="1">
        <v>4735</v>
      </c>
      <c r="G236" s="80">
        <f t="shared" si="136"/>
        <v>69</v>
      </c>
      <c r="H236" s="1">
        <v>46</v>
      </c>
      <c r="I236" s="80">
        <f t="shared" si="137"/>
        <v>7</v>
      </c>
      <c r="L236" s="1">
        <f t="shared" si="138"/>
        <v>50.23058574078982</v>
      </c>
      <c r="M236" s="1">
        <f t="shared" si="139"/>
        <v>9.2361690246986967</v>
      </c>
      <c r="O236" s="1">
        <f t="shared" si="140"/>
        <v>50</v>
      </c>
      <c r="P236" s="1">
        <f t="shared" si="141"/>
        <v>9</v>
      </c>
    </row>
    <row r="237" spans="1:17" ht="13.2">
      <c r="C237" s="1">
        <f t="shared" si="142"/>
        <v>10</v>
      </c>
      <c r="D237" s="1">
        <v>3781</v>
      </c>
      <c r="E237" s="80">
        <f t="shared" si="135"/>
        <v>61</v>
      </c>
      <c r="F237" s="1">
        <v>4742</v>
      </c>
      <c r="G237" s="80">
        <f t="shared" si="136"/>
        <v>69</v>
      </c>
      <c r="H237" s="1">
        <v>105</v>
      </c>
      <c r="I237" s="80">
        <f t="shared" si="137"/>
        <v>10</v>
      </c>
      <c r="L237" s="1">
        <f t="shared" si="138"/>
        <v>114.65677179962894</v>
      </c>
      <c r="M237" s="1">
        <f t="shared" si="139"/>
        <v>14.55448266095345</v>
      </c>
      <c r="O237" s="1">
        <f t="shared" si="140"/>
        <v>115</v>
      </c>
      <c r="P237" s="1">
        <f t="shared" si="141"/>
        <v>15</v>
      </c>
    </row>
    <row r="238" spans="1:17" ht="13.2">
      <c r="C238" s="1">
        <f t="shared" si="142"/>
        <v>15</v>
      </c>
      <c r="D238" s="1">
        <v>3811</v>
      </c>
      <c r="E238" s="80">
        <f t="shared" si="135"/>
        <v>62</v>
      </c>
      <c r="F238" s="1">
        <v>4710</v>
      </c>
      <c r="G238" s="80">
        <f t="shared" si="136"/>
        <v>69</v>
      </c>
      <c r="H238" s="1">
        <v>176</v>
      </c>
      <c r="I238" s="80">
        <f t="shared" si="137"/>
        <v>13</v>
      </c>
      <c r="L238" s="1">
        <f t="shared" si="138"/>
        <v>192.18658892128281</v>
      </c>
      <c r="M238" s="1">
        <f t="shared" si="139"/>
        <v>20.2882008810491</v>
      </c>
      <c r="O238" s="1">
        <f t="shared" si="140"/>
        <v>192</v>
      </c>
      <c r="P238" s="1">
        <f t="shared" si="141"/>
        <v>20</v>
      </c>
    </row>
    <row r="239" spans="1:17" ht="13.2">
      <c r="C239" s="1">
        <f t="shared" si="142"/>
        <v>20</v>
      </c>
      <c r="D239" s="1">
        <v>3825</v>
      </c>
      <c r="E239" s="80">
        <f t="shared" si="135"/>
        <v>62</v>
      </c>
      <c r="F239" s="1">
        <v>4620</v>
      </c>
      <c r="G239" s="80">
        <f t="shared" si="136"/>
        <v>68</v>
      </c>
      <c r="H239" s="1">
        <v>197</v>
      </c>
      <c r="I239" s="80">
        <f t="shared" si="137"/>
        <v>14</v>
      </c>
      <c r="L239" s="1">
        <f t="shared" si="138"/>
        <v>215.1179432812086</v>
      </c>
      <c r="M239" s="1">
        <f t="shared" si="139"/>
        <v>22.107128158005231</v>
      </c>
      <c r="O239" s="1">
        <f t="shared" si="140"/>
        <v>215</v>
      </c>
      <c r="P239" s="1">
        <f t="shared" si="141"/>
        <v>22</v>
      </c>
    </row>
    <row r="240" spans="1:17" ht="13.2">
      <c r="C240" s="1">
        <f t="shared" si="142"/>
        <v>25</v>
      </c>
      <c r="D240" s="1">
        <v>3877</v>
      </c>
      <c r="E240" s="80">
        <f t="shared" si="135"/>
        <v>62</v>
      </c>
      <c r="F240" s="1">
        <v>4450</v>
      </c>
      <c r="G240" s="80">
        <f t="shared" si="136"/>
        <v>67</v>
      </c>
      <c r="H240" s="1">
        <v>118</v>
      </c>
      <c r="I240" s="80">
        <f t="shared" si="137"/>
        <v>11</v>
      </c>
      <c r="L240" s="1">
        <f t="shared" si="138"/>
        <v>128.85237211767824</v>
      </c>
      <c r="M240" s="1">
        <f t="shared" si="139"/>
        <v>16.096473548682315</v>
      </c>
      <c r="O240" s="1">
        <f t="shared" si="140"/>
        <v>129</v>
      </c>
      <c r="P240" s="1">
        <f t="shared" si="141"/>
        <v>16</v>
      </c>
    </row>
    <row r="241" spans="1:16" ht="13.2">
      <c r="C241" s="1">
        <f t="shared" si="142"/>
        <v>30</v>
      </c>
      <c r="D241" s="1">
        <v>3823</v>
      </c>
      <c r="E241" s="80">
        <f t="shared" si="135"/>
        <v>62</v>
      </c>
      <c r="F241" s="1">
        <v>4482</v>
      </c>
      <c r="G241" s="80">
        <f t="shared" si="136"/>
        <v>67</v>
      </c>
      <c r="H241" s="1">
        <v>52</v>
      </c>
      <c r="I241" s="80">
        <f t="shared" si="137"/>
        <v>7</v>
      </c>
      <c r="L241" s="1">
        <f t="shared" si="138"/>
        <v>56.782401272197191</v>
      </c>
      <c r="M241" s="1">
        <f t="shared" si="139"/>
        <v>9.4438713166191448</v>
      </c>
      <c r="O241" s="1">
        <f t="shared" si="140"/>
        <v>57</v>
      </c>
      <c r="P241" s="1">
        <f t="shared" si="141"/>
        <v>9</v>
      </c>
    </row>
    <row r="242" spans="1:16" ht="13.2">
      <c r="A242" s="21" t="s">
        <v>99</v>
      </c>
      <c r="B242" s="21">
        <f>B228+15</f>
        <v>255</v>
      </c>
      <c r="C242" s="15" t="s">
        <v>38</v>
      </c>
      <c r="D242" s="15" t="s">
        <v>47</v>
      </c>
      <c r="E242" s="15" t="s">
        <v>44</v>
      </c>
      <c r="F242" s="15" t="s">
        <v>48</v>
      </c>
      <c r="G242" s="15" t="s">
        <v>44</v>
      </c>
      <c r="H242" s="15" t="s">
        <v>49</v>
      </c>
      <c r="I242" s="15" t="s">
        <v>44</v>
      </c>
    </row>
    <row r="243" spans="1:16" ht="13.2">
      <c r="C243" s="1">
        <v>-30</v>
      </c>
      <c r="D243" s="1">
        <v>3823</v>
      </c>
      <c r="E243" s="80">
        <f t="shared" ref="E243:E255" si="143">ROUND(SQRT(D243),0)</f>
        <v>62</v>
      </c>
      <c r="F243" s="1">
        <v>5077</v>
      </c>
      <c r="G243" s="80">
        <f t="shared" ref="G243:G255" si="144">ROUND(SQRT(F243),0)</f>
        <v>71</v>
      </c>
      <c r="H243" s="1">
        <v>10</v>
      </c>
      <c r="I243" s="80">
        <f t="shared" ref="I243:I255" si="145">ROUND(SQRT(H243),0)</f>
        <v>3</v>
      </c>
      <c r="K243" s="1">
        <f>B242</f>
        <v>255</v>
      </c>
      <c r="L243" s="1">
        <f t="shared" ref="L243:L255" si="146">H243*$F$356/$F$359</f>
        <v>10.919692552345614</v>
      </c>
      <c r="M243" s="1">
        <f t="shared" ref="M243:M255" si="147">ABS($F$356/$F$359)*I243 + ABS(H243/$F$359)*$G$356+ ABS(H243*$F$356/$F$359/$F$359)*$G$359</f>
        <v>3.6220782522377641</v>
      </c>
      <c r="O243" s="1">
        <f t="shared" ref="O243:O255" si="148">ROUND(L243,N243)</f>
        <v>11</v>
      </c>
      <c r="P243" s="1">
        <f t="shared" ref="P243:P255" si="149">ROUND(M243,N243)</f>
        <v>4</v>
      </c>
    </row>
    <row r="244" spans="1:16" ht="13.2">
      <c r="C244" s="1">
        <f t="shared" ref="C244:C255" si="150">C243+5</f>
        <v>-25</v>
      </c>
      <c r="D244" s="1">
        <v>3781</v>
      </c>
      <c r="E244" s="80">
        <f t="shared" si="143"/>
        <v>61</v>
      </c>
      <c r="F244" s="1">
        <v>5079</v>
      </c>
      <c r="G244" s="80">
        <f t="shared" si="144"/>
        <v>71</v>
      </c>
      <c r="H244" s="1">
        <v>20</v>
      </c>
      <c r="I244" s="80">
        <f t="shared" si="145"/>
        <v>4</v>
      </c>
      <c r="L244" s="1">
        <f t="shared" si="146"/>
        <v>21.839385104691228</v>
      </c>
      <c r="M244" s="1">
        <f t="shared" si="147"/>
        <v>5.0602179940064049</v>
      </c>
      <c r="O244" s="1">
        <f t="shared" si="148"/>
        <v>22</v>
      </c>
      <c r="P244" s="1">
        <f t="shared" si="149"/>
        <v>5</v>
      </c>
    </row>
    <row r="245" spans="1:16" ht="13.2">
      <c r="C245" s="1">
        <f t="shared" si="150"/>
        <v>-20</v>
      </c>
      <c r="D245" s="1">
        <v>3750</v>
      </c>
      <c r="E245" s="80">
        <f t="shared" si="143"/>
        <v>61</v>
      </c>
      <c r="F245" s="1">
        <v>5026</v>
      </c>
      <c r="G245" s="80">
        <f t="shared" si="144"/>
        <v>71</v>
      </c>
      <c r="H245" s="1">
        <v>114</v>
      </c>
      <c r="I245" s="80">
        <f t="shared" si="145"/>
        <v>11</v>
      </c>
      <c r="L245" s="1">
        <f t="shared" si="146"/>
        <v>124.48449509673999</v>
      </c>
      <c r="M245" s="1">
        <f t="shared" si="147"/>
        <v>15.958005354068682</v>
      </c>
      <c r="O245" s="1">
        <f t="shared" si="148"/>
        <v>124</v>
      </c>
      <c r="P245" s="1">
        <f t="shared" si="149"/>
        <v>16</v>
      </c>
    </row>
    <row r="246" spans="1:16" ht="13.2">
      <c r="C246" s="1">
        <f t="shared" si="150"/>
        <v>-15</v>
      </c>
      <c r="D246" s="1">
        <v>3850</v>
      </c>
      <c r="E246" s="80">
        <f t="shared" si="143"/>
        <v>62</v>
      </c>
      <c r="F246" s="1">
        <v>5113</v>
      </c>
      <c r="G246" s="80">
        <f t="shared" si="144"/>
        <v>72</v>
      </c>
      <c r="H246" s="1">
        <v>287</v>
      </c>
      <c r="I246" s="80">
        <f t="shared" si="145"/>
        <v>17</v>
      </c>
      <c r="L246" s="1">
        <f t="shared" si="146"/>
        <v>313.39517625231912</v>
      </c>
      <c r="M246" s="1">
        <f t="shared" si="147"/>
        <v>28.498570302515631</v>
      </c>
      <c r="O246" s="1">
        <f t="shared" si="148"/>
        <v>313</v>
      </c>
      <c r="P246" s="1">
        <f t="shared" si="149"/>
        <v>28</v>
      </c>
    </row>
    <row r="247" spans="1:16" ht="13.2">
      <c r="C247" s="1">
        <f t="shared" si="150"/>
        <v>-10</v>
      </c>
      <c r="D247" s="1">
        <v>3729</v>
      </c>
      <c r="E247" s="80">
        <f t="shared" si="143"/>
        <v>61</v>
      </c>
      <c r="F247" s="1">
        <v>5075</v>
      </c>
      <c r="G247" s="80">
        <f t="shared" si="144"/>
        <v>71</v>
      </c>
      <c r="H247" s="1">
        <v>367</v>
      </c>
      <c r="I247" s="80">
        <f t="shared" si="145"/>
        <v>19</v>
      </c>
      <c r="L247" s="1">
        <f t="shared" si="146"/>
        <v>400.75271667108404</v>
      </c>
      <c r="M247" s="1">
        <f t="shared" si="147"/>
        <v>33.451872705257387</v>
      </c>
      <c r="O247" s="1">
        <f t="shared" si="148"/>
        <v>401</v>
      </c>
      <c r="P247" s="1">
        <f t="shared" si="149"/>
        <v>33</v>
      </c>
    </row>
    <row r="248" spans="1:16" ht="13.2">
      <c r="C248" s="1">
        <f t="shared" si="150"/>
        <v>-5</v>
      </c>
      <c r="D248" s="1">
        <v>3761</v>
      </c>
      <c r="E248" s="80">
        <f t="shared" si="143"/>
        <v>61</v>
      </c>
      <c r="F248" s="1">
        <v>4963</v>
      </c>
      <c r="G248" s="80">
        <f t="shared" si="144"/>
        <v>70</v>
      </c>
      <c r="H248" s="1">
        <v>282</v>
      </c>
      <c r="I248" s="80">
        <f t="shared" si="145"/>
        <v>17</v>
      </c>
      <c r="L248" s="1">
        <f t="shared" si="146"/>
        <v>307.93532997614631</v>
      </c>
      <c r="M248" s="1">
        <f t="shared" si="147"/>
        <v>28.325485059248592</v>
      </c>
      <c r="O248" s="1">
        <f t="shared" si="148"/>
        <v>308</v>
      </c>
      <c r="P248" s="1">
        <f t="shared" si="149"/>
        <v>28</v>
      </c>
    </row>
    <row r="249" spans="1:16" ht="13.2">
      <c r="C249" s="1">
        <f t="shared" si="150"/>
        <v>0</v>
      </c>
      <c r="D249" s="1">
        <v>3774</v>
      </c>
      <c r="E249" s="80">
        <f t="shared" si="143"/>
        <v>61</v>
      </c>
      <c r="F249" s="1">
        <v>4990</v>
      </c>
      <c r="G249" s="80">
        <f t="shared" si="144"/>
        <v>71</v>
      </c>
      <c r="H249" s="1">
        <v>102</v>
      </c>
      <c r="I249" s="80">
        <f t="shared" si="145"/>
        <v>10</v>
      </c>
      <c r="L249" s="1">
        <f t="shared" si="146"/>
        <v>111.38086403392526</v>
      </c>
      <c r="M249" s="1">
        <f t="shared" si="147"/>
        <v>14.450631514993226</v>
      </c>
      <c r="O249" s="1">
        <f t="shared" si="148"/>
        <v>111</v>
      </c>
      <c r="P249" s="1">
        <f t="shared" si="149"/>
        <v>14</v>
      </c>
    </row>
    <row r="250" spans="1:16" ht="13.2">
      <c r="C250" s="1">
        <f t="shared" si="150"/>
        <v>5</v>
      </c>
      <c r="D250" s="1">
        <v>3778</v>
      </c>
      <c r="E250" s="80">
        <f t="shared" si="143"/>
        <v>61</v>
      </c>
      <c r="F250" s="1">
        <v>4736</v>
      </c>
      <c r="G250" s="80">
        <f t="shared" si="144"/>
        <v>69</v>
      </c>
      <c r="H250" s="1">
        <v>59</v>
      </c>
      <c r="I250" s="80">
        <f t="shared" si="145"/>
        <v>8</v>
      </c>
      <c r="L250" s="1">
        <f t="shared" si="146"/>
        <v>64.426186058839122</v>
      </c>
      <c r="M250" s="1">
        <f t="shared" si="147"/>
        <v>10.778159912427562</v>
      </c>
      <c r="O250" s="1">
        <f t="shared" si="148"/>
        <v>64</v>
      </c>
      <c r="P250" s="1">
        <f t="shared" si="149"/>
        <v>11</v>
      </c>
    </row>
    <row r="251" spans="1:16" ht="13.2">
      <c r="C251" s="1">
        <f t="shared" si="150"/>
        <v>10</v>
      </c>
      <c r="D251" s="1">
        <v>3802</v>
      </c>
      <c r="E251" s="80">
        <f t="shared" si="143"/>
        <v>62</v>
      </c>
      <c r="F251" s="1">
        <v>4868</v>
      </c>
      <c r="G251" s="80">
        <f t="shared" si="144"/>
        <v>70</v>
      </c>
      <c r="H251" s="1">
        <v>121</v>
      </c>
      <c r="I251" s="80">
        <f t="shared" si="145"/>
        <v>11</v>
      </c>
      <c r="L251" s="1">
        <f t="shared" si="146"/>
        <v>132.12827988338194</v>
      </c>
      <c r="M251" s="1">
        <f t="shared" si="147"/>
        <v>16.200324694642539</v>
      </c>
      <c r="O251" s="1">
        <f t="shared" si="148"/>
        <v>132</v>
      </c>
      <c r="P251" s="1">
        <f t="shared" si="149"/>
        <v>16</v>
      </c>
    </row>
    <row r="252" spans="1:16" ht="13.2">
      <c r="C252" s="1">
        <f t="shared" si="150"/>
        <v>15</v>
      </c>
      <c r="D252" s="1">
        <v>3761</v>
      </c>
      <c r="E252" s="80">
        <f t="shared" si="143"/>
        <v>61</v>
      </c>
      <c r="F252" s="1">
        <v>4791</v>
      </c>
      <c r="G252" s="80">
        <f t="shared" si="144"/>
        <v>69</v>
      </c>
      <c r="H252" s="1">
        <v>197</v>
      </c>
      <c r="I252" s="80">
        <f t="shared" si="145"/>
        <v>14</v>
      </c>
      <c r="L252" s="1">
        <f t="shared" si="146"/>
        <v>215.1179432812086</v>
      </c>
      <c r="M252" s="1">
        <f t="shared" si="147"/>
        <v>22.107128158005231</v>
      </c>
      <c r="O252" s="1">
        <f t="shared" si="148"/>
        <v>215</v>
      </c>
      <c r="P252" s="1">
        <f t="shared" si="149"/>
        <v>22</v>
      </c>
    </row>
    <row r="253" spans="1:16" ht="13.2">
      <c r="C253" s="1">
        <f t="shared" si="150"/>
        <v>20</v>
      </c>
      <c r="D253" s="1">
        <v>4032</v>
      </c>
      <c r="E253" s="80">
        <f t="shared" si="143"/>
        <v>63</v>
      </c>
      <c r="F253" s="1">
        <v>4848</v>
      </c>
      <c r="G253" s="80">
        <f t="shared" si="144"/>
        <v>70</v>
      </c>
      <c r="H253" s="1">
        <v>242</v>
      </c>
      <c r="I253" s="80">
        <f t="shared" si="145"/>
        <v>16</v>
      </c>
      <c r="L253" s="1">
        <f t="shared" si="146"/>
        <v>264.25655976676387</v>
      </c>
      <c r="M253" s="1">
        <f t="shared" si="147"/>
        <v>25.848833857877711</v>
      </c>
      <c r="O253" s="1">
        <f t="shared" si="148"/>
        <v>264</v>
      </c>
      <c r="P253" s="1">
        <f t="shared" si="149"/>
        <v>26</v>
      </c>
    </row>
    <row r="254" spans="1:16" ht="13.2">
      <c r="C254" s="1">
        <f t="shared" si="150"/>
        <v>25</v>
      </c>
      <c r="D254" s="1">
        <v>3791</v>
      </c>
      <c r="E254" s="80">
        <f t="shared" si="143"/>
        <v>62</v>
      </c>
      <c r="F254" s="1">
        <v>4725</v>
      </c>
      <c r="G254" s="80">
        <f t="shared" si="144"/>
        <v>69</v>
      </c>
      <c r="H254" s="1">
        <v>132</v>
      </c>
      <c r="I254" s="80">
        <f t="shared" si="145"/>
        <v>11</v>
      </c>
      <c r="L254" s="1">
        <f t="shared" si="146"/>
        <v>144.1399416909621</v>
      </c>
      <c r="M254" s="1">
        <f t="shared" si="147"/>
        <v>16.581112229830026</v>
      </c>
      <c r="O254" s="1">
        <f t="shared" si="148"/>
        <v>144</v>
      </c>
      <c r="P254" s="1">
        <f t="shared" si="149"/>
        <v>17</v>
      </c>
    </row>
    <row r="255" spans="1:16" ht="13.2">
      <c r="C255" s="1">
        <f t="shared" si="150"/>
        <v>30</v>
      </c>
      <c r="D255" s="1">
        <v>3772</v>
      </c>
      <c r="E255" s="80">
        <f t="shared" si="143"/>
        <v>61</v>
      </c>
      <c r="F255" s="1">
        <v>4593</v>
      </c>
      <c r="G255" s="80">
        <f t="shared" si="144"/>
        <v>68</v>
      </c>
      <c r="H255" s="1">
        <v>54</v>
      </c>
      <c r="I255" s="80">
        <f t="shared" si="145"/>
        <v>7</v>
      </c>
      <c r="L255" s="1">
        <f t="shared" si="146"/>
        <v>58.96633978266631</v>
      </c>
      <c r="M255" s="1">
        <f t="shared" si="147"/>
        <v>9.5131054139259614</v>
      </c>
      <c r="O255" s="1">
        <f t="shared" si="148"/>
        <v>59</v>
      </c>
      <c r="P255" s="1">
        <f t="shared" si="149"/>
        <v>10</v>
      </c>
    </row>
    <row r="256" spans="1:16" ht="13.2">
      <c r="A256" s="21" t="s">
        <v>99</v>
      </c>
      <c r="B256" s="21">
        <f>B242+15</f>
        <v>270</v>
      </c>
      <c r="C256" s="15" t="s">
        <v>38</v>
      </c>
      <c r="D256" s="15" t="s">
        <v>47</v>
      </c>
      <c r="E256" s="15" t="s">
        <v>44</v>
      </c>
      <c r="F256" s="15" t="s">
        <v>48</v>
      </c>
      <c r="G256" s="15" t="s">
        <v>44</v>
      </c>
      <c r="H256" s="15" t="s">
        <v>49</v>
      </c>
      <c r="I256" s="15" t="s">
        <v>44</v>
      </c>
    </row>
    <row r="257" spans="1:16" ht="13.2">
      <c r="C257" s="1">
        <v>-30</v>
      </c>
      <c r="D257" s="1">
        <v>3923</v>
      </c>
      <c r="E257" s="80">
        <f t="shared" ref="E257:E269" si="151">ROUND(SQRT(D257),0)</f>
        <v>63</v>
      </c>
      <c r="F257" s="1">
        <v>4986</v>
      </c>
      <c r="G257" s="80">
        <f t="shared" ref="G257:G269" si="152">ROUND(SQRT(F257),0)</f>
        <v>71</v>
      </c>
      <c r="H257" s="1">
        <v>8</v>
      </c>
      <c r="I257" s="80">
        <f t="shared" ref="I257:I269" si="153">ROUND(SQRT(H257),0)</f>
        <v>3</v>
      </c>
      <c r="K257" s="1">
        <f>B256</f>
        <v>270</v>
      </c>
      <c r="L257" s="1">
        <f t="shared" ref="L257:L269" si="154">H257*$F$356/$F$359</f>
        <v>8.7357540418764916</v>
      </c>
      <c r="M257" s="1">
        <f t="shared" ref="M257:M269" si="155">ABS($F$356/$F$359)*I257 + ABS(H257/$F$359)*$G$356+ ABS(H257*$F$356/$F$359/$F$359)*$G$359</f>
        <v>3.5528441549309484</v>
      </c>
      <c r="O257" s="1">
        <f t="shared" ref="O257:O269" si="156">ROUND(L257,N257)</f>
        <v>9</v>
      </c>
      <c r="P257" s="1">
        <f t="shared" ref="P257:P269" si="157">ROUND(M257,N257)</f>
        <v>4</v>
      </c>
    </row>
    <row r="258" spans="1:16" ht="13.2">
      <c r="C258" s="1">
        <f>C257+5</f>
        <v>-25</v>
      </c>
      <c r="D258" s="1">
        <v>3925</v>
      </c>
      <c r="E258" s="80">
        <f t="shared" si="151"/>
        <v>63</v>
      </c>
      <c r="F258" s="1">
        <v>5126</v>
      </c>
      <c r="G258" s="80">
        <f t="shared" si="152"/>
        <v>72</v>
      </c>
      <c r="H258" s="1">
        <v>12</v>
      </c>
      <c r="I258" s="80">
        <f t="shared" si="153"/>
        <v>3</v>
      </c>
      <c r="L258" s="1">
        <f t="shared" si="154"/>
        <v>13.103631062814737</v>
      </c>
      <c r="M258" s="1">
        <f t="shared" si="155"/>
        <v>3.6913123495445799</v>
      </c>
      <c r="O258" s="1">
        <f t="shared" si="156"/>
        <v>13</v>
      </c>
      <c r="P258" s="1">
        <f t="shared" si="157"/>
        <v>4</v>
      </c>
    </row>
    <row r="259" spans="1:16" ht="13.2">
      <c r="C259" s="1">
        <f>C260+5</f>
        <v>-15</v>
      </c>
      <c r="D259" s="1">
        <v>3812</v>
      </c>
      <c r="E259" s="80">
        <f t="shared" si="151"/>
        <v>62</v>
      </c>
      <c r="F259" s="1">
        <v>5137</v>
      </c>
      <c r="G259" s="80">
        <f t="shared" si="152"/>
        <v>72</v>
      </c>
      <c r="H259" s="1">
        <v>171</v>
      </c>
      <c r="I259" s="80">
        <f t="shared" si="153"/>
        <v>13</v>
      </c>
      <c r="L259" s="1">
        <f t="shared" si="154"/>
        <v>186.72674264510999</v>
      </c>
      <c r="M259" s="1">
        <f t="shared" si="155"/>
        <v>20.115115637782061</v>
      </c>
      <c r="O259" s="1">
        <f t="shared" si="156"/>
        <v>187</v>
      </c>
      <c r="P259" s="1">
        <f t="shared" si="157"/>
        <v>20</v>
      </c>
    </row>
    <row r="260" spans="1:16" ht="13.2">
      <c r="C260" s="1">
        <f t="shared" ref="C260:C261" si="158">C258+5</f>
        <v>-20</v>
      </c>
      <c r="D260" s="1">
        <v>3923</v>
      </c>
      <c r="E260" s="80">
        <f t="shared" si="151"/>
        <v>63</v>
      </c>
      <c r="F260" s="1">
        <v>5192</v>
      </c>
      <c r="G260" s="80">
        <f t="shared" si="152"/>
        <v>72</v>
      </c>
      <c r="H260" s="1">
        <v>39</v>
      </c>
      <c r="I260" s="80">
        <f t="shared" si="153"/>
        <v>6</v>
      </c>
      <c r="L260" s="1">
        <f t="shared" si="154"/>
        <v>42.58680095414789</v>
      </c>
      <c r="M260" s="1">
        <f t="shared" si="155"/>
        <v>7.90188042889028</v>
      </c>
      <c r="O260" s="1">
        <f t="shared" si="156"/>
        <v>43</v>
      </c>
      <c r="P260" s="1">
        <f t="shared" si="157"/>
        <v>8</v>
      </c>
    </row>
    <row r="261" spans="1:16" ht="13.2">
      <c r="C261" s="1">
        <f t="shared" si="158"/>
        <v>-10</v>
      </c>
      <c r="D261" s="1">
        <v>3902</v>
      </c>
      <c r="E261" s="80">
        <f t="shared" si="151"/>
        <v>62</v>
      </c>
      <c r="F261" s="1">
        <v>5078</v>
      </c>
      <c r="G261" s="80">
        <f t="shared" si="152"/>
        <v>71</v>
      </c>
      <c r="H261" s="1">
        <v>314</v>
      </c>
      <c r="I261" s="80">
        <f t="shared" si="153"/>
        <v>18</v>
      </c>
      <c r="L261" s="1">
        <f t="shared" si="154"/>
        <v>342.87834614365227</v>
      </c>
      <c r="M261" s="1">
        <f t="shared" si="155"/>
        <v>30.525199871392207</v>
      </c>
      <c r="O261" s="1">
        <f t="shared" si="156"/>
        <v>343</v>
      </c>
      <c r="P261" s="1">
        <f t="shared" si="157"/>
        <v>31</v>
      </c>
    </row>
    <row r="262" spans="1:16" ht="13.2">
      <c r="C262" s="1">
        <f t="shared" ref="C262:C269" si="159">C261+5</f>
        <v>-5</v>
      </c>
      <c r="D262" s="1">
        <v>3849</v>
      </c>
      <c r="E262" s="80">
        <f t="shared" si="151"/>
        <v>62</v>
      </c>
      <c r="F262" s="1">
        <v>5002</v>
      </c>
      <c r="G262" s="80">
        <f t="shared" si="152"/>
        <v>71</v>
      </c>
      <c r="H262" s="1">
        <v>369</v>
      </c>
      <c r="I262" s="80">
        <f t="shared" si="153"/>
        <v>19</v>
      </c>
      <c r="L262" s="1">
        <f t="shared" si="154"/>
        <v>402.93665518155314</v>
      </c>
      <c r="M262" s="1">
        <f t="shared" si="155"/>
        <v>33.521106802564205</v>
      </c>
      <c r="O262" s="1">
        <f t="shared" si="156"/>
        <v>403</v>
      </c>
      <c r="P262" s="1">
        <f t="shared" si="157"/>
        <v>34</v>
      </c>
    </row>
    <row r="263" spans="1:16" ht="13.2">
      <c r="C263" s="1">
        <f t="shared" si="159"/>
        <v>0</v>
      </c>
      <c r="D263" s="1">
        <v>3884</v>
      </c>
      <c r="E263" s="80">
        <f t="shared" si="151"/>
        <v>62</v>
      </c>
      <c r="F263" s="1">
        <v>5171</v>
      </c>
      <c r="G263" s="80">
        <f t="shared" si="152"/>
        <v>72</v>
      </c>
      <c r="H263" s="1">
        <v>210</v>
      </c>
      <c r="I263" s="80">
        <f t="shared" si="153"/>
        <v>14</v>
      </c>
      <c r="L263" s="1">
        <f t="shared" si="154"/>
        <v>229.31354359925788</v>
      </c>
      <c r="M263" s="1">
        <f t="shared" si="155"/>
        <v>22.55714979049953</v>
      </c>
      <c r="O263" s="1">
        <f t="shared" si="156"/>
        <v>229</v>
      </c>
      <c r="P263" s="1">
        <f t="shared" si="157"/>
        <v>23</v>
      </c>
    </row>
    <row r="264" spans="1:16" ht="13.2">
      <c r="C264" s="1">
        <f t="shared" si="159"/>
        <v>5</v>
      </c>
      <c r="D264" s="1">
        <v>3761</v>
      </c>
      <c r="E264" s="80">
        <f t="shared" si="151"/>
        <v>61</v>
      </c>
      <c r="F264" s="1">
        <v>5072</v>
      </c>
      <c r="G264" s="80">
        <f t="shared" si="152"/>
        <v>71</v>
      </c>
      <c r="H264" s="1">
        <v>109</v>
      </c>
      <c r="I264" s="80">
        <f t="shared" si="153"/>
        <v>10</v>
      </c>
      <c r="L264" s="1">
        <f t="shared" si="154"/>
        <v>119.02464882056719</v>
      </c>
      <c r="M264" s="1">
        <f t="shared" si="155"/>
        <v>14.692950855567082</v>
      </c>
      <c r="O264" s="1">
        <f t="shared" si="156"/>
        <v>119</v>
      </c>
      <c r="P264" s="1">
        <f t="shared" si="157"/>
        <v>15</v>
      </c>
    </row>
    <row r="265" spans="1:16" ht="13.2">
      <c r="C265" s="1">
        <f t="shared" si="159"/>
        <v>10</v>
      </c>
      <c r="D265" s="1">
        <v>3795</v>
      </c>
      <c r="E265" s="80">
        <f t="shared" si="151"/>
        <v>62</v>
      </c>
      <c r="F265" s="1">
        <v>5065</v>
      </c>
      <c r="G265" s="80">
        <f t="shared" si="152"/>
        <v>71</v>
      </c>
      <c r="H265" s="1">
        <v>122</v>
      </c>
      <c r="I265" s="80">
        <f t="shared" si="153"/>
        <v>11</v>
      </c>
      <c r="L265" s="1">
        <f t="shared" si="154"/>
        <v>133.22024913861648</v>
      </c>
      <c r="M265" s="1">
        <f t="shared" si="155"/>
        <v>16.234941743295948</v>
      </c>
      <c r="O265" s="1">
        <f t="shared" si="156"/>
        <v>133</v>
      </c>
      <c r="P265" s="1">
        <f t="shared" si="157"/>
        <v>16</v>
      </c>
    </row>
    <row r="266" spans="1:16" ht="13.2">
      <c r="C266" s="1">
        <f t="shared" si="159"/>
        <v>15</v>
      </c>
      <c r="D266" s="1">
        <v>3853</v>
      </c>
      <c r="E266" s="80">
        <f t="shared" si="151"/>
        <v>62</v>
      </c>
      <c r="F266" s="1">
        <v>4896</v>
      </c>
      <c r="G266" s="80">
        <f t="shared" si="152"/>
        <v>70</v>
      </c>
      <c r="H266" s="1">
        <v>198</v>
      </c>
      <c r="I266" s="80">
        <f t="shared" si="153"/>
        <v>14</v>
      </c>
      <c r="L266" s="1">
        <f t="shared" si="154"/>
        <v>216.20991253644314</v>
      </c>
      <c r="M266" s="1">
        <f t="shared" si="155"/>
        <v>22.141745206658637</v>
      </c>
      <c r="O266" s="1">
        <f t="shared" si="156"/>
        <v>216</v>
      </c>
      <c r="P266" s="1">
        <f t="shared" si="157"/>
        <v>22</v>
      </c>
    </row>
    <row r="267" spans="1:16" ht="13.2">
      <c r="C267" s="1">
        <f t="shared" si="159"/>
        <v>20</v>
      </c>
      <c r="D267" s="1">
        <v>3901</v>
      </c>
      <c r="E267" s="80">
        <f t="shared" si="151"/>
        <v>62</v>
      </c>
      <c r="F267" s="1">
        <v>4871</v>
      </c>
      <c r="G267" s="80">
        <f t="shared" si="152"/>
        <v>70</v>
      </c>
      <c r="H267" s="1">
        <v>203</v>
      </c>
      <c r="I267" s="80">
        <f t="shared" si="153"/>
        <v>14</v>
      </c>
      <c r="L267" s="1">
        <f t="shared" si="154"/>
        <v>221.66975881261595</v>
      </c>
      <c r="M267" s="1">
        <f t="shared" si="155"/>
        <v>22.314830449925676</v>
      </c>
      <c r="O267" s="1">
        <f t="shared" si="156"/>
        <v>222</v>
      </c>
      <c r="P267" s="1">
        <f t="shared" si="157"/>
        <v>22</v>
      </c>
    </row>
    <row r="268" spans="1:16" ht="13.2">
      <c r="C268" s="1">
        <f t="shared" si="159"/>
        <v>25</v>
      </c>
      <c r="D268" s="1">
        <v>3791</v>
      </c>
      <c r="E268" s="80">
        <f t="shared" si="151"/>
        <v>62</v>
      </c>
      <c r="F268" s="1">
        <v>4815</v>
      </c>
      <c r="G268" s="80">
        <f t="shared" si="152"/>
        <v>69</v>
      </c>
      <c r="H268" s="1">
        <v>122</v>
      </c>
      <c r="I268" s="80">
        <f t="shared" si="153"/>
        <v>11</v>
      </c>
      <c r="L268" s="1">
        <f t="shared" si="154"/>
        <v>133.22024913861648</v>
      </c>
      <c r="M268" s="1">
        <f t="shared" si="155"/>
        <v>16.234941743295948</v>
      </c>
      <c r="O268" s="1">
        <f t="shared" si="156"/>
        <v>133</v>
      </c>
      <c r="P268" s="1">
        <f t="shared" si="157"/>
        <v>16</v>
      </c>
    </row>
    <row r="269" spans="1:16" ht="13.2">
      <c r="C269" s="1">
        <f t="shared" si="159"/>
        <v>30</v>
      </c>
      <c r="D269" s="1">
        <v>3831</v>
      </c>
      <c r="E269" s="80">
        <f t="shared" si="151"/>
        <v>62</v>
      </c>
      <c r="F269" s="1">
        <v>4750</v>
      </c>
      <c r="G269" s="80">
        <f t="shared" si="152"/>
        <v>69</v>
      </c>
      <c r="H269" s="1">
        <v>48</v>
      </c>
      <c r="I269" s="80">
        <f t="shared" si="153"/>
        <v>7</v>
      </c>
      <c r="L269" s="1">
        <f t="shared" si="154"/>
        <v>52.414524251258946</v>
      </c>
      <c r="M269" s="1">
        <f t="shared" si="155"/>
        <v>9.3054031220055116</v>
      </c>
      <c r="O269" s="1">
        <f t="shared" si="156"/>
        <v>52</v>
      </c>
      <c r="P269" s="1">
        <f t="shared" si="157"/>
        <v>9</v>
      </c>
    </row>
    <row r="270" spans="1:16" ht="13.2">
      <c r="A270" s="21" t="s">
        <v>99</v>
      </c>
      <c r="B270" s="21">
        <f>B256+15</f>
        <v>285</v>
      </c>
      <c r="C270" s="15" t="s">
        <v>38</v>
      </c>
      <c r="D270" s="15" t="s">
        <v>47</v>
      </c>
      <c r="E270" s="15" t="s">
        <v>44</v>
      </c>
      <c r="F270" s="15" t="s">
        <v>48</v>
      </c>
      <c r="G270" s="15" t="s">
        <v>44</v>
      </c>
      <c r="H270" s="15" t="s">
        <v>49</v>
      </c>
      <c r="I270" s="15" t="s">
        <v>44</v>
      </c>
    </row>
    <row r="271" spans="1:16" ht="13.2">
      <c r="C271" s="1">
        <v>-30</v>
      </c>
      <c r="D271" s="1">
        <v>4031</v>
      </c>
      <c r="E271" s="80">
        <f t="shared" ref="E271:E283" si="160">ROUND(SQRT(D271),0)</f>
        <v>63</v>
      </c>
      <c r="F271" s="1">
        <v>4926</v>
      </c>
      <c r="G271" s="80">
        <f t="shared" ref="G271:G283" si="161">ROUND(SQRT(F271),0)</f>
        <v>70</v>
      </c>
      <c r="H271" s="1">
        <v>8</v>
      </c>
      <c r="I271" s="80">
        <f t="shared" ref="I271:I283" si="162">ROUND(SQRT(H271),0)</f>
        <v>3</v>
      </c>
      <c r="K271" s="1">
        <f>B270</f>
        <v>285</v>
      </c>
      <c r="L271" s="1">
        <f t="shared" ref="L271:L283" si="163">H271*$F$356/$F$359</f>
        <v>8.7357540418764916</v>
      </c>
      <c r="M271" s="1">
        <f t="shared" ref="M271:M283" si="164">ABS($F$356/$F$359)*I271 + ABS(H271/$F$359)*$G$356+ ABS(H271*$F$356/$F$359/$F$359)*$G$359</f>
        <v>3.5528441549309484</v>
      </c>
      <c r="O271" s="1">
        <f t="shared" ref="O271:O283" si="165">ROUND(L271,N271)</f>
        <v>9</v>
      </c>
      <c r="P271" s="1">
        <f t="shared" ref="P271:P283" si="166">ROUND(M271,N271)</f>
        <v>4</v>
      </c>
    </row>
    <row r="272" spans="1:16" ht="13.2">
      <c r="C272" s="1">
        <f t="shared" ref="C272:C283" si="167">C271+5</f>
        <v>-25</v>
      </c>
      <c r="D272" s="1">
        <v>3942</v>
      </c>
      <c r="E272" s="80">
        <f t="shared" si="160"/>
        <v>63</v>
      </c>
      <c r="F272" s="1">
        <v>4934</v>
      </c>
      <c r="G272" s="80">
        <f t="shared" si="161"/>
        <v>70</v>
      </c>
      <c r="H272" s="1">
        <v>10</v>
      </c>
      <c r="I272" s="80">
        <f t="shared" si="162"/>
        <v>3</v>
      </c>
      <c r="L272" s="1">
        <f t="shared" si="163"/>
        <v>10.919692552345614</v>
      </c>
      <c r="M272" s="1">
        <f t="shared" si="164"/>
        <v>3.6220782522377641</v>
      </c>
      <c r="O272" s="1">
        <f t="shared" si="165"/>
        <v>11</v>
      </c>
      <c r="P272" s="1">
        <f t="shared" si="166"/>
        <v>4</v>
      </c>
    </row>
    <row r="273" spans="1:16" ht="13.2">
      <c r="C273" s="1">
        <f t="shared" si="167"/>
        <v>-20</v>
      </c>
      <c r="D273" s="1">
        <v>3968</v>
      </c>
      <c r="E273" s="80">
        <f t="shared" si="160"/>
        <v>63</v>
      </c>
      <c r="F273" s="1">
        <v>5026</v>
      </c>
      <c r="G273" s="80">
        <f t="shared" si="161"/>
        <v>71</v>
      </c>
      <c r="H273" s="1">
        <v>10</v>
      </c>
      <c r="I273" s="80">
        <f t="shared" si="162"/>
        <v>3</v>
      </c>
      <c r="L273" s="1">
        <f t="shared" si="163"/>
        <v>10.919692552345614</v>
      </c>
      <c r="M273" s="1">
        <f t="shared" si="164"/>
        <v>3.6220782522377641</v>
      </c>
      <c r="O273" s="1">
        <f t="shared" si="165"/>
        <v>11</v>
      </c>
      <c r="P273" s="1">
        <f t="shared" si="166"/>
        <v>4</v>
      </c>
    </row>
    <row r="274" spans="1:16" ht="13.2">
      <c r="C274" s="1">
        <f t="shared" si="167"/>
        <v>-15</v>
      </c>
      <c r="D274" s="1">
        <v>3972</v>
      </c>
      <c r="E274" s="80">
        <f t="shared" si="160"/>
        <v>63</v>
      </c>
      <c r="F274" s="1">
        <v>5116</v>
      </c>
      <c r="G274" s="80">
        <f t="shared" si="161"/>
        <v>72</v>
      </c>
      <c r="H274" s="1">
        <v>72</v>
      </c>
      <c r="I274" s="80">
        <f t="shared" si="162"/>
        <v>8</v>
      </c>
      <c r="L274" s="1">
        <f t="shared" si="163"/>
        <v>78.621786376888423</v>
      </c>
      <c r="M274" s="1">
        <f t="shared" si="164"/>
        <v>11.228181544921865</v>
      </c>
      <c r="O274" s="1">
        <f t="shared" si="165"/>
        <v>79</v>
      </c>
      <c r="P274" s="1">
        <f t="shared" si="166"/>
        <v>11</v>
      </c>
    </row>
    <row r="275" spans="1:16" ht="13.2">
      <c r="C275" s="1">
        <f t="shared" si="167"/>
        <v>-10</v>
      </c>
      <c r="D275" s="1">
        <v>3967</v>
      </c>
      <c r="E275" s="80">
        <f t="shared" si="160"/>
        <v>63</v>
      </c>
      <c r="F275" s="1">
        <v>5082</v>
      </c>
      <c r="G275" s="80">
        <f t="shared" si="161"/>
        <v>71</v>
      </c>
      <c r="H275" s="1">
        <v>194</v>
      </c>
      <c r="I275" s="80">
        <f t="shared" si="162"/>
        <v>14</v>
      </c>
      <c r="L275" s="1">
        <f t="shared" si="163"/>
        <v>211.8420355155049</v>
      </c>
      <c r="M275" s="1">
        <f t="shared" si="164"/>
        <v>22.003277012045004</v>
      </c>
      <c r="O275" s="1">
        <f t="shared" si="165"/>
        <v>212</v>
      </c>
      <c r="P275" s="1">
        <f t="shared" si="166"/>
        <v>22</v>
      </c>
    </row>
    <row r="276" spans="1:16" ht="13.2">
      <c r="C276" s="1">
        <f t="shared" si="167"/>
        <v>-5</v>
      </c>
      <c r="D276" s="1">
        <v>3999</v>
      </c>
      <c r="E276" s="80">
        <f t="shared" si="160"/>
        <v>63</v>
      </c>
      <c r="F276" s="1">
        <v>5078</v>
      </c>
      <c r="G276" s="80">
        <f t="shared" si="161"/>
        <v>71</v>
      </c>
      <c r="H276" s="1">
        <v>333</v>
      </c>
      <c r="I276" s="80">
        <f t="shared" si="162"/>
        <v>18</v>
      </c>
      <c r="L276" s="1">
        <f t="shared" si="163"/>
        <v>363.62576199310894</v>
      </c>
      <c r="M276" s="1">
        <f t="shared" si="164"/>
        <v>31.18292379580696</v>
      </c>
      <c r="O276" s="1">
        <f t="shared" si="165"/>
        <v>364</v>
      </c>
      <c r="P276" s="1">
        <f t="shared" si="166"/>
        <v>31</v>
      </c>
    </row>
    <row r="277" spans="1:16" ht="13.2">
      <c r="C277" s="1">
        <f t="shared" si="167"/>
        <v>0</v>
      </c>
      <c r="D277" s="1">
        <v>4013</v>
      </c>
      <c r="E277" s="80">
        <f t="shared" si="160"/>
        <v>63</v>
      </c>
      <c r="F277" s="1">
        <v>5154</v>
      </c>
      <c r="G277" s="80">
        <f t="shared" si="161"/>
        <v>72</v>
      </c>
      <c r="H277" s="1">
        <v>365</v>
      </c>
      <c r="I277" s="80">
        <f t="shared" si="162"/>
        <v>19</v>
      </c>
      <c r="L277" s="1">
        <f t="shared" si="163"/>
        <v>398.5687781606149</v>
      </c>
      <c r="M277" s="1">
        <f t="shared" si="164"/>
        <v>33.382638607950575</v>
      </c>
      <c r="O277" s="1">
        <f t="shared" si="165"/>
        <v>399</v>
      </c>
      <c r="P277" s="1">
        <f t="shared" si="166"/>
        <v>33</v>
      </c>
    </row>
    <row r="278" spans="1:16" ht="13.2">
      <c r="C278" s="1">
        <f t="shared" si="167"/>
        <v>5</v>
      </c>
      <c r="D278" s="1">
        <v>4090</v>
      </c>
      <c r="E278" s="80">
        <f t="shared" si="160"/>
        <v>64</v>
      </c>
      <c r="F278" s="1">
        <v>5089</v>
      </c>
      <c r="G278" s="80">
        <f t="shared" si="161"/>
        <v>71</v>
      </c>
      <c r="H278" s="1">
        <v>244</v>
      </c>
      <c r="I278" s="80">
        <f t="shared" si="162"/>
        <v>16</v>
      </c>
      <c r="L278" s="1">
        <f t="shared" si="163"/>
        <v>266.44049827723296</v>
      </c>
      <c r="M278" s="1">
        <f t="shared" si="164"/>
        <v>25.918067955184526</v>
      </c>
      <c r="O278" s="1">
        <f t="shared" si="165"/>
        <v>266</v>
      </c>
      <c r="P278" s="1">
        <f t="shared" si="166"/>
        <v>26</v>
      </c>
    </row>
    <row r="279" spans="1:16" ht="13.2">
      <c r="C279" s="1">
        <f t="shared" si="167"/>
        <v>10</v>
      </c>
      <c r="D279" s="1">
        <v>3911</v>
      </c>
      <c r="E279" s="80">
        <f t="shared" si="160"/>
        <v>63</v>
      </c>
      <c r="F279" s="1">
        <v>5120</v>
      </c>
      <c r="G279" s="80">
        <f t="shared" si="161"/>
        <v>72</v>
      </c>
      <c r="H279" s="1">
        <v>176</v>
      </c>
      <c r="I279" s="80">
        <f t="shared" si="162"/>
        <v>13</v>
      </c>
      <c r="L279" s="1">
        <f t="shared" si="163"/>
        <v>192.18658892128281</v>
      </c>
      <c r="M279" s="1">
        <f t="shared" si="164"/>
        <v>20.2882008810491</v>
      </c>
      <c r="O279" s="1">
        <f t="shared" si="165"/>
        <v>192</v>
      </c>
      <c r="P279" s="1">
        <f t="shared" si="166"/>
        <v>20</v>
      </c>
    </row>
    <row r="280" spans="1:16" ht="13.2">
      <c r="C280" s="1">
        <f t="shared" si="167"/>
        <v>15</v>
      </c>
      <c r="D280" s="1">
        <v>3933</v>
      </c>
      <c r="E280" s="80">
        <f t="shared" si="160"/>
        <v>63</v>
      </c>
      <c r="F280" s="1">
        <v>4936</v>
      </c>
      <c r="G280" s="80">
        <f t="shared" si="161"/>
        <v>70</v>
      </c>
      <c r="H280" s="1">
        <v>197</v>
      </c>
      <c r="I280" s="80">
        <f t="shared" si="162"/>
        <v>14</v>
      </c>
      <c r="L280" s="1">
        <f t="shared" si="163"/>
        <v>215.1179432812086</v>
      </c>
      <c r="M280" s="1">
        <f t="shared" si="164"/>
        <v>22.107128158005231</v>
      </c>
      <c r="O280" s="1">
        <f t="shared" si="165"/>
        <v>215</v>
      </c>
      <c r="P280" s="1">
        <f t="shared" si="166"/>
        <v>22</v>
      </c>
    </row>
    <row r="281" spans="1:16" ht="13.2">
      <c r="C281" s="1">
        <f t="shared" si="167"/>
        <v>20</v>
      </c>
      <c r="D281" s="1">
        <v>3989</v>
      </c>
      <c r="E281" s="80">
        <f t="shared" si="160"/>
        <v>63</v>
      </c>
      <c r="F281" s="1">
        <v>5034</v>
      </c>
      <c r="G281" s="80">
        <f t="shared" si="161"/>
        <v>71</v>
      </c>
      <c r="H281" s="1">
        <v>171</v>
      </c>
      <c r="I281" s="80">
        <f t="shared" si="162"/>
        <v>13</v>
      </c>
      <c r="L281" s="1">
        <f t="shared" si="163"/>
        <v>186.72674264510999</v>
      </c>
      <c r="M281" s="1">
        <f t="shared" si="164"/>
        <v>20.115115637782061</v>
      </c>
      <c r="O281" s="1">
        <f t="shared" si="165"/>
        <v>187</v>
      </c>
      <c r="P281" s="1">
        <f t="shared" si="166"/>
        <v>20</v>
      </c>
    </row>
    <row r="282" spans="1:16" ht="13.2">
      <c r="C282" s="1">
        <f t="shared" si="167"/>
        <v>25</v>
      </c>
      <c r="D282" s="1">
        <v>4004</v>
      </c>
      <c r="E282" s="80">
        <f t="shared" si="160"/>
        <v>63</v>
      </c>
      <c r="F282" s="1">
        <v>4968</v>
      </c>
      <c r="G282" s="80">
        <f t="shared" si="161"/>
        <v>70</v>
      </c>
      <c r="H282" s="1">
        <v>93</v>
      </c>
      <c r="I282" s="80">
        <f t="shared" si="162"/>
        <v>10</v>
      </c>
      <c r="L282" s="1">
        <f t="shared" si="163"/>
        <v>101.5531407368142</v>
      </c>
      <c r="M282" s="1">
        <f t="shared" si="164"/>
        <v>14.139078077112554</v>
      </c>
      <c r="O282" s="1">
        <f t="shared" si="165"/>
        <v>102</v>
      </c>
      <c r="P282" s="1">
        <f t="shared" si="166"/>
        <v>14</v>
      </c>
    </row>
    <row r="283" spans="1:16" ht="13.2">
      <c r="C283" s="1">
        <f t="shared" si="167"/>
        <v>30</v>
      </c>
      <c r="D283" s="1">
        <v>4034</v>
      </c>
      <c r="E283" s="80">
        <f t="shared" si="160"/>
        <v>64</v>
      </c>
      <c r="F283" s="1">
        <v>4959</v>
      </c>
      <c r="G283" s="80">
        <f t="shared" si="161"/>
        <v>70</v>
      </c>
      <c r="H283" s="1">
        <v>43</v>
      </c>
      <c r="I283" s="80">
        <f t="shared" si="162"/>
        <v>7</v>
      </c>
      <c r="L283" s="1">
        <f t="shared" si="163"/>
        <v>46.954677975086142</v>
      </c>
      <c r="M283" s="1">
        <f t="shared" si="164"/>
        <v>9.1323178787384727</v>
      </c>
      <c r="O283" s="1">
        <f t="shared" si="165"/>
        <v>47</v>
      </c>
      <c r="P283" s="1">
        <f t="shared" si="166"/>
        <v>9</v>
      </c>
    </row>
    <row r="284" spans="1:16" ht="13.2">
      <c r="A284" s="21" t="s">
        <v>99</v>
      </c>
      <c r="B284" s="21">
        <f>B270+15</f>
        <v>300</v>
      </c>
      <c r="C284" s="15" t="s">
        <v>38</v>
      </c>
      <c r="D284" s="15" t="s">
        <v>47</v>
      </c>
      <c r="E284" s="15" t="s">
        <v>44</v>
      </c>
      <c r="F284" s="15" t="s">
        <v>48</v>
      </c>
      <c r="G284" s="15" t="s">
        <v>44</v>
      </c>
      <c r="H284" s="15" t="s">
        <v>49</v>
      </c>
      <c r="I284" s="15" t="s">
        <v>44</v>
      </c>
    </row>
    <row r="285" spans="1:16" ht="13.2">
      <c r="C285" s="1">
        <v>-30</v>
      </c>
      <c r="D285" s="1">
        <v>4188</v>
      </c>
      <c r="E285" s="80">
        <f t="shared" ref="E285:E297" si="168">ROUND(SQRT(D285),0)</f>
        <v>65</v>
      </c>
      <c r="F285" s="1">
        <v>4779</v>
      </c>
      <c r="G285" s="80">
        <f t="shared" ref="G285:G297" si="169">ROUND(SQRT(F285),0)</f>
        <v>69</v>
      </c>
      <c r="H285" s="1">
        <v>7</v>
      </c>
      <c r="I285" s="80">
        <f t="shared" ref="I285:I297" si="170">ROUND(SQRT(H285),0)</f>
        <v>3</v>
      </c>
      <c r="K285" s="1">
        <f>B284</f>
        <v>300</v>
      </c>
      <c r="L285" s="1">
        <f t="shared" ref="L285:L297" si="171">H285*$F$356/$F$359</f>
        <v>7.6437847866419295</v>
      </c>
      <c r="M285" s="1">
        <f t="shared" ref="M285:M297" si="172">ABS($F$356/$F$359)*I285 + ABS(H285/$F$359)*$G$356+ ABS(H285*$F$356/$F$359/$F$359)*$G$359</f>
        <v>3.5182271062775401</v>
      </c>
      <c r="O285" s="1">
        <f t="shared" ref="O285:O297" si="173">ROUND(L285,N285)</f>
        <v>8</v>
      </c>
      <c r="P285" s="1">
        <f t="shared" ref="P285:P297" si="174">ROUND(M285,N285)</f>
        <v>4</v>
      </c>
    </row>
    <row r="286" spans="1:16" ht="13.2">
      <c r="C286" s="1">
        <f t="shared" ref="C286:C297" si="175">C285+5</f>
        <v>-25</v>
      </c>
      <c r="D286" s="1">
        <v>4059</v>
      </c>
      <c r="E286" s="80">
        <f t="shared" si="168"/>
        <v>64</v>
      </c>
      <c r="F286" s="1">
        <v>5022</v>
      </c>
      <c r="G286" s="80">
        <f t="shared" si="169"/>
        <v>71</v>
      </c>
      <c r="H286" s="1">
        <v>8</v>
      </c>
      <c r="I286" s="80">
        <f t="shared" si="170"/>
        <v>3</v>
      </c>
      <c r="L286" s="1">
        <f t="shared" si="171"/>
        <v>8.7357540418764916</v>
      </c>
      <c r="M286" s="1">
        <f t="shared" si="172"/>
        <v>3.5528441549309484</v>
      </c>
      <c r="O286" s="1">
        <f t="shared" si="173"/>
        <v>9</v>
      </c>
      <c r="P286" s="1">
        <f t="shared" si="174"/>
        <v>4</v>
      </c>
    </row>
    <row r="287" spans="1:16" ht="13.2">
      <c r="C287" s="1">
        <f t="shared" si="175"/>
        <v>-20</v>
      </c>
      <c r="D287" s="1">
        <v>4049</v>
      </c>
      <c r="E287" s="80">
        <f t="shared" si="168"/>
        <v>64</v>
      </c>
      <c r="F287" s="1">
        <v>4863</v>
      </c>
      <c r="G287" s="80">
        <f t="shared" si="169"/>
        <v>70</v>
      </c>
      <c r="H287" s="1">
        <v>16</v>
      </c>
      <c r="I287" s="80">
        <f t="shared" si="170"/>
        <v>4</v>
      </c>
      <c r="L287" s="1">
        <f t="shared" si="171"/>
        <v>17.471508083752983</v>
      </c>
      <c r="M287" s="1">
        <f t="shared" si="172"/>
        <v>4.9217497993927735</v>
      </c>
      <c r="O287" s="1">
        <f t="shared" si="173"/>
        <v>17</v>
      </c>
      <c r="P287" s="1">
        <f t="shared" si="174"/>
        <v>5</v>
      </c>
    </row>
    <row r="288" spans="1:16" ht="13.2">
      <c r="C288" s="1">
        <f t="shared" si="175"/>
        <v>-15</v>
      </c>
      <c r="D288" s="1">
        <v>4149</v>
      </c>
      <c r="E288" s="80">
        <f t="shared" si="168"/>
        <v>64</v>
      </c>
      <c r="F288" s="1">
        <v>4959</v>
      </c>
      <c r="G288" s="80">
        <f t="shared" si="169"/>
        <v>70</v>
      </c>
      <c r="H288" s="1">
        <v>15</v>
      </c>
      <c r="I288" s="80">
        <f t="shared" si="170"/>
        <v>4</v>
      </c>
      <c r="L288" s="1">
        <f t="shared" si="171"/>
        <v>16.37953882851842</v>
      </c>
      <c r="M288" s="1">
        <f t="shared" si="172"/>
        <v>4.8871327507393652</v>
      </c>
      <c r="O288" s="1">
        <f t="shared" si="173"/>
        <v>16</v>
      </c>
      <c r="P288" s="1">
        <f t="shared" si="174"/>
        <v>5</v>
      </c>
    </row>
    <row r="289" spans="1:16" ht="13.2">
      <c r="C289" s="1">
        <f t="shared" si="175"/>
        <v>-10</v>
      </c>
      <c r="D289" s="1">
        <v>4080</v>
      </c>
      <c r="E289" s="80">
        <f t="shared" si="168"/>
        <v>64</v>
      </c>
      <c r="F289" s="1">
        <v>4989</v>
      </c>
      <c r="G289" s="80">
        <f t="shared" si="169"/>
        <v>71</v>
      </c>
      <c r="H289" s="1">
        <v>77</v>
      </c>
      <c r="I289" s="80">
        <f t="shared" si="170"/>
        <v>9</v>
      </c>
      <c r="L289" s="1">
        <f t="shared" si="171"/>
        <v>84.08163265306122</v>
      </c>
      <c r="M289" s="1">
        <f t="shared" si="172"/>
        <v>12.493236043423465</v>
      </c>
      <c r="O289" s="1">
        <f t="shared" si="173"/>
        <v>84</v>
      </c>
      <c r="P289" s="1">
        <f t="shared" si="174"/>
        <v>12</v>
      </c>
    </row>
    <row r="290" spans="1:16" ht="13.2">
      <c r="C290" s="1">
        <f t="shared" si="175"/>
        <v>-5</v>
      </c>
      <c r="D290" s="1">
        <v>4044</v>
      </c>
      <c r="E290" s="80">
        <f t="shared" si="168"/>
        <v>64</v>
      </c>
      <c r="F290" s="1">
        <v>4983</v>
      </c>
      <c r="G290" s="80">
        <f t="shared" si="169"/>
        <v>71</v>
      </c>
      <c r="H290" s="1">
        <v>236</v>
      </c>
      <c r="I290" s="80">
        <f t="shared" si="170"/>
        <v>15</v>
      </c>
      <c r="L290" s="1">
        <f t="shared" si="171"/>
        <v>257.70474423535649</v>
      </c>
      <c r="M290" s="1">
        <f t="shared" si="172"/>
        <v>24.5491623107227</v>
      </c>
      <c r="O290" s="1">
        <f t="shared" si="173"/>
        <v>258</v>
      </c>
      <c r="P290" s="1">
        <f t="shared" si="174"/>
        <v>25</v>
      </c>
    </row>
    <row r="291" spans="1:16" ht="13.2">
      <c r="C291" s="1">
        <f t="shared" si="175"/>
        <v>0</v>
      </c>
      <c r="D291" s="1">
        <v>4171</v>
      </c>
      <c r="E291" s="80">
        <f t="shared" si="168"/>
        <v>65</v>
      </c>
      <c r="F291" s="1">
        <v>5100</v>
      </c>
      <c r="G291" s="80">
        <f t="shared" si="169"/>
        <v>71</v>
      </c>
      <c r="H291" s="1">
        <v>438</v>
      </c>
      <c r="I291" s="80">
        <f t="shared" si="170"/>
        <v>21</v>
      </c>
      <c r="L291" s="1">
        <f t="shared" si="171"/>
        <v>478.28253379273787</v>
      </c>
      <c r="M291" s="1">
        <f t="shared" si="172"/>
        <v>38.09362167011848</v>
      </c>
      <c r="O291" s="1">
        <f t="shared" si="173"/>
        <v>478</v>
      </c>
      <c r="P291" s="1">
        <f t="shared" si="174"/>
        <v>38</v>
      </c>
    </row>
    <row r="292" spans="1:16" ht="13.2">
      <c r="C292" s="1">
        <f t="shared" si="175"/>
        <v>5</v>
      </c>
      <c r="D292" s="1">
        <v>4244</v>
      </c>
      <c r="E292" s="80">
        <f t="shared" si="168"/>
        <v>65</v>
      </c>
      <c r="F292" s="1">
        <v>5061</v>
      </c>
      <c r="G292" s="80">
        <f t="shared" si="169"/>
        <v>71</v>
      </c>
      <c r="H292" s="1">
        <v>467</v>
      </c>
      <c r="I292" s="80">
        <f t="shared" si="170"/>
        <v>22</v>
      </c>
      <c r="L292" s="1">
        <f t="shared" si="171"/>
        <v>509.94964219454016</v>
      </c>
      <c r="M292" s="1">
        <f t="shared" si="172"/>
        <v>40.189485336301871</v>
      </c>
      <c r="O292" s="1">
        <f t="shared" si="173"/>
        <v>510</v>
      </c>
      <c r="P292" s="1">
        <f t="shared" si="174"/>
        <v>40</v>
      </c>
    </row>
    <row r="293" spans="1:16" ht="13.2">
      <c r="C293" s="1">
        <f t="shared" si="175"/>
        <v>10</v>
      </c>
      <c r="D293" s="1">
        <v>3997</v>
      </c>
      <c r="E293" s="80">
        <f t="shared" si="168"/>
        <v>63</v>
      </c>
      <c r="F293" s="1">
        <v>5109</v>
      </c>
      <c r="G293" s="80">
        <f t="shared" si="169"/>
        <v>71</v>
      </c>
      <c r="H293" s="1">
        <v>311</v>
      </c>
      <c r="I293" s="80">
        <f t="shared" si="170"/>
        <v>18</v>
      </c>
      <c r="L293" s="1">
        <f t="shared" si="171"/>
        <v>339.6024383779486</v>
      </c>
      <c r="M293" s="1">
        <f t="shared" si="172"/>
        <v>30.421348725431983</v>
      </c>
      <c r="O293" s="1">
        <f t="shared" si="173"/>
        <v>340</v>
      </c>
      <c r="P293" s="1">
        <f t="shared" si="174"/>
        <v>30</v>
      </c>
    </row>
    <row r="294" spans="1:16" ht="13.2">
      <c r="C294" s="1">
        <f t="shared" si="175"/>
        <v>15</v>
      </c>
      <c r="D294" s="1">
        <v>4283</v>
      </c>
      <c r="E294" s="80">
        <f t="shared" si="168"/>
        <v>65</v>
      </c>
      <c r="F294" s="1">
        <v>5149</v>
      </c>
      <c r="G294" s="80">
        <f t="shared" si="169"/>
        <v>72</v>
      </c>
      <c r="H294" s="1">
        <v>180</v>
      </c>
      <c r="I294" s="80">
        <f t="shared" si="170"/>
        <v>13</v>
      </c>
      <c r="L294" s="1">
        <f t="shared" si="171"/>
        <v>196.55446594222104</v>
      </c>
      <c r="M294" s="1">
        <f t="shared" si="172"/>
        <v>20.426669075662733</v>
      </c>
      <c r="O294" s="1">
        <f t="shared" si="173"/>
        <v>197</v>
      </c>
      <c r="P294" s="1">
        <f t="shared" si="174"/>
        <v>20</v>
      </c>
    </row>
    <row r="295" spans="1:16" ht="13.2">
      <c r="C295" s="1">
        <f t="shared" si="175"/>
        <v>20</v>
      </c>
      <c r="D295" s="1">
        <v>4144</v>
      </c>
      <c r="E295" s="80">
        <f t="shared" si="168"/>
        <v>64</v>
      </c>
      <c r="F295" s="1">
        <v>5174</v>
      </c>
      <c r="G295" s="80">
        <f t="shared" si="169"/>
        <v>72</v>
      </c>
      <c r="H295" s="1">
        <v>125</v>
      </c>
      <c r="I295" s="80">
        <f t="shared" si="170"/>
        <v>11</v>
      </c>
      <c r="L295" s="1">
        <f t="shared" si="171"/>
        <v>136.49615690432017</v>
      </c>
      <c r="M295" s="1">
        <f t="shared" si="172"/>
        <v>16.338792889256169</v>
      </c>
      <c r="O295" s="1">
        <f t="shared" si="173"/>
        <v>136</v>
      </c>
      <c r="P295" s="1">
        <f t="shared" si="174"/>
        <v>16</v>
      </c>
    </row>
    <row r="296" spans="1:16" ht="13.2">
      <c r="C296" s="1">
        <f t="shared" si="175"/>
        <v>25</v>
      </c>
      <c r="D296" s="1">
        <v>4091</v>
      </c>
      <c r="E296" s="80">
        <f t="shared" si="168"/>
        <v>64</v>
      </c>
      <c r="F296" s="1">
        <v>5039</v>
      </c>
      <c r="G296" s="80">
        <f t="shared" si="169"/>
        <v>71</v>
      </c>
      <c r="H296" s="1">
        <v>63</v>
      </c>
      <c r="I296" s="80">
        <f t="shared" si="170"/>
        <v>8</v>
      </c>
      <c r="L296" s="1">
        <f t="shared" si="171"/>
        <v>68.794063079777359</v>
      </c>
      <c r="M296" s="1">
        <f t="shared" si="172"/>
        <v>10.916628107041193</v>
      </c>
      <c r="O296" s="1">
        <f t="shared" si="173"/>
        <v>69</v>
      </c>
      <c r="P296" s="1">
        <f t="shared" si="174"/>
        <v>11</v>
      </c>
    </row>
    <row r="297" spans="1:16" ht="13.2">
      <c r="C297" s="1">
        <f t="shared" si="175"/>
        <v>30</v>
      </c>
      <c r="D297" s="1">
        <v>4081</v>
      </c>
      <c r="E297" s="80">
        <f t="shared" si="168"/>
        <v>64</v>
      </c>
      <c r="F297" s="1">
        <v>5002</v>
      </c>
      <c r="G297" s="80">
        <f t="shared" si="169"/>
        <v>71</v>
      </c>
      <c r="H297" s="1">
        <v>13</v>
      </c>
      <c r="I297" s="80">
        <f t="shared" si="170"/>
        <v>4</v>
      </c>
      <c r="L297" s="1">
        <f t="shared" si="171"/>
        <v>14.195600318049298</v>
      </c>
      <c r="M297" s="1">
        <f t="shared" si="172"/>
        <v>4.8178986534325494</v>
      </c>
      <c r="O297" s="1">
        <f t="shared" si="173"/>
        <v>14</v>
      </c>
      <c r="P297" s="1">
        <f t="shared" si="174"/>
        <v>5</v>
      </c>
    </row>
    <row r="298" spans="1:16" ht="13.2">
      <c r="A298" s="21" t="s">
        <v>99</v>
      </c>
      <c r="B298" s="21">
        <f>B284+15</f>
        <v>315</v>
      </c>
      <c r="C298" s="15" t="s">
        <v>38</v>
      </c>
      <c r="D298" s="15" t="s">
        <v>47</v>
      </c>
      <c r="E298" s="15" t="s">
        <v>44</v>
      </c>
      <c r="F298" s="15" t="s">
        <v>48</v>
      </c>
      <c r="G298" s="15" t="s">
        <v>44</v>
      </c>
      <c r="H298" s="15" t="s">
        <v>49</v>
      </c>
      <c r="I298" s="15" t="s">
        <v>44</v>
      </c>
    </row>
    <row r="299" spans="1:16" ht="13.2">
      <c r="C299" s="1">
        <v>-30</v>
      </c>
      <c r="D299" s="1">
        <v>4098</v>
      </c>
      <c r="E299" s="80">
        <f t="shared" ref="E299:E311" si="176">ROUND(SQRT(D299),0)</f>
        <v>64</v>
      </c>
      <c r="F299" s="1">
        <v>4535</v>
      </c>
      <c r="G299" s="80">
        <f t="shared" ref="G299:G311" si="177">ROUND(SQRT(F299),0)</f>
        <v>67</v>
      </c>
      <c r="H299" s="1">
        <v>6</v>
      </c>
      <c r="I299" s="80">
        <f t="shared" ref="I299:I311" si="178">ROUND(SQRT(H299),0)</f>
        <v>2</v>
      </c>
      <c r="K299" s="1">
        <f>B298</f>
        <v>315</v>
      </c>
      <c r="L299" s="1">
        <f t="shared" ref="L299:L311" si="179">H299*$F$356/$F$359</f>
        <v>6.5518155314073683</v>
      </c>
      <c r="M299" s="1">
        <f t="shared" ref="M299:M311" si="180">ABS($F$356/$F$359)*I299 + ABS(H299/$F$359)*$G$356+ ABS(H299*$F$356/$F$359/$F$359)*$G$359</f>
        <v>2.391640802389571</v>
      </c>
      <c r="O299" s="1">
        <f t="shared" ref="O299:O311" si="181">ROUND(L299,N299)</f>
        <v>7</v>
      </c>
      <c r="P299" s="1">
        <f t="shared" ref="P299:P311" si="182">ROUND(M299,N299)</f>
        <v>2</v>
      </c>
    </row>
    <row r="300" spans="1:16" ht="13.2">
      <c r="C300" s="1">
        <f t="shared" ref="C300:C311" si="183">C299+5</f>
        <v>-25</v>
      </c>
      <c r="D300" s="1">
        <v>4047</v>
      </c>
      <c r="E300" s="80">
        <f t="shared" si="176"/>
        <v>64</v>
      </c>
      <c r="F300" s="1">
        <v>4546</v>
      </c>
      <c r="G300" s="80">
        <f t="shared" si="177"/>
        <v>67</v>
      </c>
      <c r="H300" s="1">
        <v>6</v>
      </c>
      <c r="I300" s="80">
        <f t="shared" si="178"/>
        <v>2</v>
      </c>
      <c r="L300" s="1">
        <f t="shared" si="179"/>
        <v>6.5518155314073683</v>
      </c>
      <c r="M300" s="1">
        <f t="shared" si="180"/>
        <v>2.391640802389571</v>
      </c>
      <c r="O300" s="1">
        <f t="shared" si="181"/>
        <v>7</v>
      </c>
      <c r="P300" s="1">
        <f t="shared" si="182"/>
        <v>2</v>
      </c>
    </row>
    <row r="301" spans="1:16" ht="13.2">
      <c r="C301" s="1">
        <f t="shared" si="183"/>
        <v>-20</v>
      </c>
      <c r="D301" s="1">
        <v>4141</v>
      </c>
      <c r="E301" s="80">
        <f t="shared" si="176"/>
        <v>64</v>
      </c>
      <c r="F301" s="1">
        <v>4613</v>
      </c>
      <c r="G301" s="80">
        <f t="shared" si="177"/>
        <v>68</v>
      </c>
      <c r="H301" s="1">
        <v>6</v>
      </c>
      <c r="I301" s="80">
        <f t="shared" si="178"/>
        <v>2</v>
      </c>
      <c r="L301" s="1">
        <f t="shared" si="179"/>
        <v>6.5518155314073683</v>
      </c>
      <c r="M301" s="1">
        <f t="shared" si="180"/>
        <v>2.391640802389571</v>
      </c>
      <c r="O301" s="1">
        <f t="shared" si="181"/>
        <v>7</v>
      </c>
      <c r="P301" s="1">
        <f t="shared" si="182"/>
        <v>2</v>
      </c>
    </row>
    <row r="302" spans="1:16" ht="13.2">
      <c r="C302" s="1">
        <f t="shared" si="183"/>
        <v>-15</v>
      </c>
      <c r="D302" s="1">
        <v>4042</v>
      </c>
      <c r="E302" s="80">
        <f t="shared" si="176"/>
        <v>64</v>
      </c>
      <c r="F302" s="1">
        <v>4729</v>
      </c>
      <c r="G302" s="80">
        <f t="shared" si="177"/>
        <v>69</v>
      </c>
      <c r="H302" s="1">
        <v>12</v>
      </c>
      <c r="I302" s="80">
        <f t="shared" si="178"/>
        <v>3</v>
      </c>
      <c r="L302" s="1">
        <f t="shared" si="179"/>
        <v>13.103631062814737</v>
      </c>
      <c r="M302" s="1">
        <f t="shared" si="180"/>
        <v>3.6913123495445799</v>
      </c>
      <c r="O302" s="1">
        <f t="shared" si="181"/>
        <v>13</v>
      </c>
      <c r="P302" s="1">
        <f t="shared" si="182"/>
        <v>4</v>
      </c>
    </row>
    <row r="303" spans="1:16" ht="13.2">
      <c r="C303" s="1">
        <f t="shared" si="183"/>
        <v>-10</v>
      </c>
      <c r="D303" s="1">
        <v>4031</v>
      </c>
      <c r="E303" s="80">
        <f t="shared" si="176"/>
        <v>63</v>
      </c>
      <c r="F303" s="1">
        <v>4954</v>
      </c>
      <c r="G303" s="80">
        <f t="shared" si="177"/>
        <v>70</v>
      </c>
      <c r="H303" s="1">
        <v>37</v>
      </c>
      <c r="I303" s="80">
        <f t="shared" si="178"/>
        <v>6</v>
      </c>
      <c r="L303" s="1">
        <f t="shared" si="179"/>
        <v>40.402862443678771</v>
      </c>
      <c r="M303" s="1">
        <f t="shared" si="180"/>
        <v>7.8326463315834634</v>
      </c>
      <c r="O303" s="1">
        <f t="shared" si="181"/>
        <v>40</v>
      </c>
      <c r="P303" s="1">
        <f t="shared" si="182"/>
        <v>8</v>
      </c>
    </row>
    <row r="304" spans="1:16" ht="13.2">
      <c r="C304" s="1">
        <f t="shared" si="183"/>
        <v>-5</v>
      </c>
      <c r="D304" s="1">
        <v>3976</v>
      </c>
      <c r="E304" s="80">
        <f t="shared" si="176"/>
        <v>63</v>
      </c>
      <c r="F304" s="1">
        <v>4834</v>
      </c>
      <c r="G304" s="80">
        <f t="shared" si="177"/>
        <v>70</v>
      </c>
      <c r="H304" s="1">
        <v>186</v>
      </c>
      <c r="I304" s="80">
        <f t="shared" si="178"/>
        <v>14</v>
      </c>
      <c r="L304" s="1">
        <f t="shared" si="179"/>
        <v>203.1062814736284</v>
      </c>
      <c r="M304" s="1">
        <f t="shared" si="180"/>
        <v>21.726340622817744</v>
      </c>
      <c r="O304" s="1">
        <f t="shared" si="181"/>
        <v>203</v>
      </c>
      <c r="P304" s="1">
        <f t="shared" si="182"/>
        <v>22</v>
      </c>
    </row>
    <row r="305" spans="1:16" ht="13.2">
      <c r="C305" s="1">
        <f t="shared" si="183"/>
        <v>0</v>
      </c>
      <c r="D305" s="1">
        <v>4021</v>
      </c>
      <c r="E305" s="80">
        <f t="shared" si="176"/>
        <v>63</v>
      </c>
      <c r="F305" s="1">
        <v>4795</v>
      </c>
      <c r="G305" s="80">
        <f t="shared" si="177"/>
        <v>69</v>
      </c>
      <c r="H305" s="1">
        <v>336</v>
      </c>
      <c r="I305" s="80">
        <f t="shared" si="178"/>
        <v>18</v>
      </c>
      <c r="L305" s="1">
        <f t="shared" si="179"/>
        <v>366.9016697588126</v>
      </c>
      <c r="M305" s="1">
        <f t="shared" si="180"/>
        <v>31.286774941767181</v>
      </c>
      <c r="O305" s="1">
        <f t="shared" si="181"/>
        <v>367</v>
      </c>
      <c r="P305" s="1">
        <f t="shared" si="182"/>
        <v>31</v>
      </c>
    </row>
    <row r="306" spans="1:16" ht="13.2">
      <c r="C306" s="1">
        <f t="shared" si="183"/>
        <v>5</v>
      </c>
      <c r="D306" s="1">
        <v>4170</v>
      </c>
      <c r="E306" s="80">
        <f t="shared" si="176"/>
        <v>65</v>
      </c>
      <c r="F306" s="1">
        <v>5061</v>
      </c>
      <c r="G306" s="80">
        <f t="shared" si="177"/>
        <v>71</v>
      </c>
      <c r="H306" s="1">
        <v>527</v>
      </c>
      <c r="I306" s="80">
        <f t="shared" si="178"/>
        <v>23</v>
      </c>
      <c r="L306" s="1">
        <f t="shared" si="179"/>
        <v>575.46779750861378</v>
      </c>
      <c r="M306" s="1">
        <f t="shared" si="180"/>
        <v>43.358477510740911</v>
      </c>
      <c r="O306" s="1">
        <f t="shared" si="181"/>
        <v>575</v>
      </c>
      <c r="P306" s="1">
        <f t="shared" si="182"/>
        <v>43</v>
      </c>
    </row>
    <row r="307" spans="1:16" ht="13.2">
      <c r="C307" s="1">
        <f t="shared" si="183"/>
        <v>10</v>
      </c>
      <c r="D307" s="1">
        <v>4125</v>
      </c>
      <c r="E307" s="80">
        <f t="shared" si="176"/>
        <v>64</v>
      </c>
      <c r="F307" s="1">
        <v>4882</v>
      </c>
      <c r="G307" s="80">
        <f t="shared" si="177"/>
        <v>70</v>
      </c>
      <c r="H307" s="1">
        <v>374</v>
      </c>
      <c r="I307" s="80">
        <f t="shared" si="178"/>
        <v>19</v>
      </c>
      <c r="L307" s="1">
        <f t="shared" si="179"/>
        <v>408.39650145772595</v>
      </c>
      <c r="M307" s="1">
        <f t="shared" si="180"/>
        <v>33.694192045831251</v>
      </c>
      <c r="O307" s="1">
        <f t="shared" si="181"/>
        <v>408</v>
      </c>
      <c r="P307" s="1">
        <f t="shared" si="182"/>
        <v>34</v>
      </c>
    </row>
    <row r="308" spans="1:16" ht="13.2">
      <c r="C308" s="1">
        <f t="shared" si="183"/>
        <v>15</v>
      </c>
      <c r="D308" s="1">
        <v>3994</v>
      </c>
      <c r="E308" s="80">
        <f t="shared" si="176"/>
        <v>63</v>
      </c>
      <c r="F308" s="1">
        <v>5148</v>
      </c>
      <c r="G308" s="80">
        <f t="shared" si="177"/>
        <v>72</v>
      </c>
      <c r="H308" s="1">
        <v>204</v>
      </c>
      <c r="I308" s="80">
        <f t="shared" si="178"/>
        <v>14</v>
      </c>
      <c r="L308" s="1">
        <f t="shared" si="179"/>
        <v>222.76172806785053</v>
      </c>
      <c r="M308" s="1">
        <f t="shared" si="180"/>
        <v>22.349447498579085</v>
      </c>
      <c r="O308" s="1">
        <f t="shared" si="181"/>
        <v>223</v>
      </c>
      <c r="P308" s="1">
        <f t="shared" si="182"/>
        <v>22</v>
      </c>
    </row>
    <row r="309" spans="1:16" ht="13.2">
      <c r="C309" s="1">
        <f t="shared" si="183"/>
        <v>20</v>
      </c>
      <c r="D309" s="1">
        <v>4194</v>
      </c>
      <c r="E309" s="80">
        <f t="shared" si="176"/>
        <v>65</v>
      </c>
      <c r="F309" s="1">
        <v>5016</v>
      </c>
      <c r="G309" s="80">
        <f t="shared" si="177"/>
        <v>71</v>
      </c>
      <c r="H309" s="1">
        <v>56</v>
      </c>
      <c r="I309" s="80">
        <f t="shared" si="178"/>
        <v>7</v>
      </c>
      <c r="L309" s="1">
        <f t="shared" si="179"/>
        <v>61.150278293135436</v>
      </c>
      <c r="M309" s="1">
        <f t="shared" si="180"/>
        <v>9.5823395112327763</v>
      </c>
      <c r="O309" s="1">
        <f t="shared" si="181"/>
        <v>61</v>
      </c>
      <c r="P309" s="1">
        <f t="shared" si="182"/>
        <v>10</v>
      </c>
    </row>
    <row r="310" spans="1:16" ht="13.2">
      <c r="C310" s="1">
        <f t="shared" si="183"/>
        <v>25</v>
      </c>
      <c r="D310" s="1">
        <v>4115</v>
      </c>
      <c r="E310" s="80">
        <f t="shared" si="176"/>
        <v>64</v>
      </c>
      <c r="F310" s="1">
        <v>5223</v>
      </c>
      <c r="G310" s="80">
        <f t="shared" si="177"/>
        <v>72</v>
      </c>
      <c r="H310" s="1">
        <v>16</v>
      </c>
      <c r="I310" s="80">
        <f t="shared" si="178"/>
        <v>4</v>
      </c>
      <c r="L310" s="1">
        <f t="shared" si="179"/>
        <v>17.471508083752983</v>
      </c>
      <c r="M310" s="1">
        <f t="shared" si="180"/>
        <v>4.9217497993927735</v>
      </c>
      <c r="O310" s="1">
        <f t="shared" si="181"/>
        <v>17</v>
      </c>
      <c r="P310" s="1">
        <f t="shared" si="182"/>
        <v>5</v>
      </c>
    </row>
    <row r="311" spans="1:16" ht="13.2">
      <c r="C311" s="1">
        <f t="shared" si="183"/>
        <v>30</v>
      </c>
      <c r="D311" s="1">
        <v>4116</v>
      </c>
      <c r="E311" s="80">
        <f t="shared" si="176"/>
        <v>64</v>
      </c>
      <c r="F311" s="1">
        <v>5008</v>
      </c>
      <c r="G311" s="80">
        <f t="shared" si="177"/>
        <v>71</v>
      </c>
      <c r="H311" s="1">
        <v>11</v>
      </c>
      <c r="I311" s="80">
        <f t="shared" si="178"/>
        <v>3</v>
      </c>
      <c r="L311" s="1">
        <f t="shared" si="179"/>
        <v>12.011661807580175</v>
      </c>
      <c r="M311" s="1">
        <f t="shared" si="180"/>
        <v>3.6566953008911725</v>
      </c>
      <c r="O311" s="1">
        <f t="shared" si="181"/>
        <v>12</v>
      </c>
      <c r="P311" s="1">
        <f t="shared" si="182"/>
        <v>4</v>
      </c>
    </row>
    <row r="312" spans="1:16" ht="13.2">
      <c r="A312" s="21" t="s">
        <v>99</v>
      </c>
      <c r="B312" s="21">
        <f>B298+15</f>
        <v>330</v>
      </c>
      <c r="C312" s="15" t="s">
        <v>38</v>
      </c>
      <c r="D312" s="15" t="s">
        <v>47</v>
      </c>
      <c r="E312" s="15" t="s">
        <v>44</v>
      </c>
      <c r="F312" s="15" t="s">
        <v>48</v>
      </c>
      <c r="G312" s="15" t="s">
        <v>44</v>
      </c>
      <c r="H312" s="15" t="s">
        <v>49</v>
      </c>
      <c r="I312" s="15" t="s">
        <v>44</v>
      </c>
    </row>
    <row r="313" spans="1:16" ht="13.2">
      <c r="C313" s="1">
        <v>-30</v>
      </c>
      <c r="D313" s="1">
        <v>4297</v>
      </c>
      <c r="E313" s="80">
        <f t="shared" ref="E313:E325" si="184">ROUND(SQRT(D313),0)</f>
        <v>66</v>
      </c>
      <c r="F313" s="1">
        <v>4256</v>
      </c>
      <c r="G313" s="80">
        <f t="shared" ref="G313:G325" si="185">ROUND(SQRT(F313),0)</f>
        <v>65</v>
      </c>
      <c r="H313" s="1">
        <v>4</v>
      </c>
      <c r="I313" s="80">
        <f t="shared" ref="I313:I325" si="186">ROUND(SQRT(H313),0)</f>
        <v>2</v>
      </c>
      <c r="K313" s="1">
        <f>B312</f>
        <v>330</v>
      </c>
      <c r="L313" s="1">
        <f t="shared" ref="L313:L325" si="187">H313*$F$356/$F$359</f>
        <v>4.3678770209382458</v>
      </c>
      <c r="M313" s="1">
        <f t="shared" ref="M313:M325" si="188">ABS($F$356/$F$359)*I313 + ABS(H313/$F$359)*$G$356+ ABS(H313*$F$356/$F$359/$F$359)*$G$359</f>
        <v>2.3224067050827544</v>
      </c>
      <c r="O313" s="1">
        <f t="shared" ref="O313:O325" si="189">ROUND(L313,N313)</f>
        <v>4</v>
      </c>
      <c r="P313" s="1">
        <f t="shared" ref="P313:P325" si="190">ROUND(M313,N313)</f>
        <v>2</v>
      </c>
    </row>
    <row r="314" spans="1:16" ht="13.2">
      <c r="C314" s="1">
        <f t="shared" ref="C314:C325" si="191">C313+5</f>
        <v>-25</v>
      </c>
      <c r="D314" s="1">
        <v>4186</v>
      </c>
      <c r="E314" s="80">
        <f t="shared" si="184"/>
        <v>65</v>
      </c>
      <c r="F314" s="1">
        <v>4338</v>
      </c>
      <c r="G314" s="80">
        <f t="shared" si="185"/>
        <v>66</v>
      </c>
      <c r="H314" s="1">
        <v>13</v>
      </c>
      <c r="I314" s="80">
        <f t="shared" si="186"/>
        <v>4</v>
      </c>
      <c r="L314" s="1">
        <f t="shared" si="187"/>
        <v>14.195600318049298</v>
      </c>
      <c r="M314" s="1">
        <f t="shared" si="188"/>
        <v>4.8178986534325494</v>
      </c>
      <c r="O314" s="1">
        <f t="shared" si="189"/>
        <v>14</v>
      </c>
      <c r="P314" s="1">
        <f t="shared" si="190"/>
        <v>5</v>
      </c>
    </row>
    <row r="315" spans="1:16" ht="13.2">
      <c r="C315" s="1">
        <f t="shared" si="191"/>
        <v>-20</v>
      </c>
      <c r="D315" s="1">
        <v>4143</v>
      </c>
      <c r="E315" s="80">
        <f t="shared" si="184"/>
        <v>64</v>
      </c>
      <c r="F315" s="1">
        <v>4378</v>
      </c>
      <c r="G315" s="80">
        <f t="shared" si="185"/>
        <v>66</v>
      </c>
      <c r="H315" s="1">
        <v>11</v>
      </c>
      <c r="I315" s="80">
        <f t="shared" si="186"/>
        <v>3</v>
      </c>
      <c r="L315" s="1">
        <f t="shared" si="187"/>
        <v>12.011661807580175</v>
      </c>
      <c r="M315" s="1">
        <f t="shared" si="188"/>
        <v>3.6566953008911725</v>
      </c>
      <c r="O315" s="1">
        <f t="shared" si="189"/>
        <v>12</v>
      </c>
      <c r="P315" s="1">
        <f t="shared" si="190"/>
        <v>4</v>
      </c>
    </row>
    <row r="316" spans="1:16" ht="13.2">
      <c r="C316" s="1">
        <f t="shared" si="191"/>
        <v>-15</v>
      </c>
      <c r="D316" s="1">
        <v>4106</v>
      </c>
      <c r="E316" s="80">
        <f t="shared" si="184"/>
        <v>64</v>
      </c>
      <c r="F316" s="1">
        <v>4499</v>
      </c>
      <c r="G316" s="80">
        <f t="shared" si="185"/>
        <v>67</v>
      </c>
      <c r="H316" s="1">
        <v>40</v>
      </c>
      <c r="I316" s="80">
        <f t="shared" si="186"/>
        <v>6</v>
      </c>
      <c r="L316" s="1">
        <f t="shared" si="187"/>
        <v>43.678770209382456</v>
      </c>
      <c r="M316" s="1">
        <f t="shared" si="188"/>
        <v>7.9364974775436874</v>
      </c>
      <c r="O316" s="1">
        <f t="shared" si="189"/>
        <v>44</v>
      </c>
      <c r="P316" s="1">
        <f t="shared" si="190"/>
        <v>8</v>
      </c>
    </row>
    <row r="317" spans="1:16" ht="13.2">
      <c r="C317" s="1">
        <f t="shared" si="191"/>
        <v>-10</v>
      </c>
      <c r="D317" s="1">
        <v>4287</v>
      </c>
      <c r="E317" s="80">
        <f t="shared" si="184"/>
        <v>65</v>
      </c>
      <c r="F317" s="1">
        <v>4586</v>
      </c>
      <c r="G317" s="80">
        <f t="shared" si="185"/>
        <v>68</v>
      </c>
      <c r="H317" s="1">
        <v>114</v>
      </c>
      <c r="I317" s="80">
        <f t="shared" si="186"/>
        <v>11</v>
      </c>
      <c r="L317" s="1">
        <f t="shared" si="187"/>
        <v>124.48449509673999</v>
      </c>
      <c r="M317" s="1">
        <f t="shared" si="188"/>
        <v>15.958005354068682</v>
      </c>
      <c r="O317" s="1">
        <f t="shared" si="189"/>
        <v>124</v>
      </c>
      <c r="P317" s="1">
        <f t="shared" si="190"/>
        <v>16</v>
      </c>
    </row>
    <row r="318" spans="1:16" ht="13.2">
      <c r="C318" s="1">
        <f t="shared" si="191"/>
        <v>-5</v>
      </c>
      <c r="D318" s="1">
        <v>4145</v>
      </c>
      <c r="E318" s="80">
        <f t="shared" si="184"/>
        <v>64</v>
      </c>
      <c r="F318" s="1">
        <v>4679</v>
      </c>
      <c r="G318" s="80">
        <f t="shared" si="185"/>
        <v>68</v>
      </c>
      <c r="H318" s="1">
        <v>155</v>
      </c>
      <c r="I318" s="80">
        <f t="shared" si="186"/>
        <v>12</v>
      </c>
      <c r="L318" s="1">
        <f t="shared" si="187"/>
        <v>169.25523456135701</v>
      </c>
      <c r="M318" s="1">
        <f t="shared" si="188"/>
        <v>18.469273604092972</v>
      </c>
      <c r="O318" s="1">
        <f t="shared" si="189"/>
        <v>169</v>
      </c>
      <c r="P318" s="1">
        <f t="shared" si="190"/>
        <v>18</v>
      </c>
    </row>
    <row r="319" spans="1:16" ht="13.2">
      <c r="C319" s="1">
        <f t="shared" si="191"/>
        <v>0</v>
      </c>
      <c r="D319" s="1">
        <v>4125</v>
      </c>
      <c r="E319" s="80">
        <f t="shared" si="184"/>
        <v>64</v>
      </c>
      <c r="F319" s="1">
        <v>4722</v>
      </c>
      <c r="G319" s="80">
        <f t="shared" si="185"/>
        <v>69</v>
      </c>
      <c r="H319" s="1">
        <v>324</v>
      </c>
      <c r="I319" s="80">
        <f t="shared" si="186"/>
        <v>18</v>
      </c>
      <c r="L319" s="1">
        <f t="shared" si="187"/>
        <v>353.79803869599789</v>
      </c>
      <c r="M319" s="1">
        <f t="shared" si="188"/>
        <v>30.871370357926288</v>
      </c>
      <c r="O319" s="1">
        <f t="shared" si="189"/>
        <v>354</v>
      </c>
      <c r="P319" s="1">
        <f t="shared" si="190"/>
        <v>31</v>
      </c>
    </row>
    <row r="320" spans="1:16" ht="13.2">
      <c r="C320" s="1">
        <f t="shared" si="191"/>
        <v>5</v>
      </c>
      <c r="D320" s="1">
        <v>4315</v>
      </c>
      <c r="E320" s="80">
        <f t="shared" si="184"/>
        <v>66</v>
      </c>
      <c r="F320" s="1">
        <v>4845</v>
      </c>
      <c r="G320" s="80">
        <f t="shared" si="185"/>
        <v>70</v>
      </c>
      <c r="H320" s="1">
        <v>448</v>
      </c>
      <c r="I320" s="80">
        <f t="shared" si="186"/>
        <v>21</v>
      </c>
      <c r="L320" s="1">
        <f t="shared" si="187"/>
        <v>489.20222634508349</v>
      </c>
      <c r="M320" s="1">
        <f t="shared" si="188"/>
        <v>38.439792156652558</v>
      </c>
      <c r="O320" s="1">
        <f t="shared" si="189"/>
        <v>489</v>
      </c>
      <c r="P320" s="1">
        <f t="shared" si="190"/>
        <v>38</v>
      </c>
    </row>
    <row r="321" spans="1:17" ht="13.2">
      <c r="C321" s="1">
        <f t="shared" si="191"/>
        <v>10</v>
      </c>
      <c r="D321" s="1">
        <v>4257</v>
      </c>
      <c r="E321" s="80">
        <f t="shared" si="184"/>
        <v>65</v>
      </c>
      <c r="F321" s="1">
        <v>4836</v>
      </c>
      <c r="G321" s="80">
        <f t="shared" si="185"/>
        <v>70</v>
      </c>
      <c r="H321" s="1">
        <v>453</v>
      </c>
      <c r="I321" s="80">
        <f t="shared" si="186"/>
        <v>21</v>
      </c>
      <c r="L321" s="1">
        <f t="shared" si="187"/>
        <v>494.6620726212563</v>
      </c>
      <c r="M321" s="1">
        <f t="shared" si="188"/>
        <v>38.612877399919597</v>
      </c>
      <c r="O321" s="1">
        <f t="shared" si="189"/>
        <v>495</v>
      </c>
      <c r="P321" s="1">
        <f t="shared" si="190"/>
        <v>39</v>
      </c>
    </row>
    <row r="322" spans="1:17" ht="13.2">
      <c r="C322" s="1">
        <f t="shared" si="191"/>
        <v>15</v>
      </c>
      <c r="D322" s="1">
        <v>4221</v>
      </c>
      <c r="E322" s="80">
        <f t="shared" si="184"/>
        <v>65</v>
      </c>
      <c r="F322" s="1">
        <v>4869</v>
      </c>
      <c r="G322" s="80">
        <f t="shared" si="185"/>
        <v>70</v>
      </c>
      <c r="H322" s="1">
        <v>246</v>
      </c>
      <c r="I322" s="80">
        <f t="shared" si="186"/>
        <v>16</v>
      </c>
      <c r="L322" s="1">
        <f t="shared" si="187"/>
        <v>268.62443678770211</v>
      </c>
      <c r="M322" s="1">
        <f t="shared" si="188"/>
        <v>25.987302052491344</v>
      </c>
      <c r="O322" s="1">
        <f t="shared" si="189"/>
        <v>269</v>
      </c>
      <c r="P322" s="1">
        <f t="shared" si="190"/>
        <v>26</v>
      </c>
    </row>
    <row r="323" spans="1:17" ht="13.2">
      <c r="C323" s="1">
        <f t="shared" si="191"/>
        <v>20</v>
      </c>
      <c r="D323" s="1">
        <v>4093</v>
      </c>
      <c r="E323" s="80">
        <f t="shared" si="184"/>
        <v>64</v>
      </c>
      <c r="F323" s="1">
        <v>4899</v>
      </c>
      <c r="G323" s="80">
        <f t="shared" si="185"/>
        <v>70</v>
      </c>
      <c r="H323" s="1">
        <v>63</v>
      </c>
      <c r="I323" s="80">
        <f t="shared" si="186"/>
        <v>8</v>
      </c>
      <c r="L323" s="1">
        <f t="shared" si="187"/>
        <v>68.794063079777359</v>
      </c>
      <c r="M323" s="1">
        <f t="shared" si="188"/>
        <v>10.916628107041193</v>
      </c>
      <c r="O323" s="1">
        <f t="shared" si="189"/>
        <v>69</v>
      </c>
      <c r="P323" s="1">
        <f t="shared" si="190"/>
        <v>11</v>
      </c>
    </row>
    <row r="324" spans="1:17" ht="13.2">
      <c r="C324" s="1">
        <f t="shared" si="191"/>
        <v>25</v>
      </c>
      <c r="D324" s="1">
        <v>4261</v>
      </c>
      <c r="E324" s="80">
        <f t="shared" si="184"/>
        <v>65</v>
      </c>
      <c r="F324" s="1">
        <v>4855</v>
      </c>
      <c r="G324" s="80">
        <f t="shared" si="185"/>
        <v>70</v>
      </c>
      <c r="H324" s="1">
        <v>13</v>
      </c>
      <c r="I324" s="80">
        <f t="shared" si="186"/>
        <v>4</v>
      </c>
      <c r="L324" s="1">
        <f t="shared" si="187"/>
        <v>14.195600318049298</v>
      </c>
      <c r="M324" s="1">
        <f t="shared" si="188"/>
        <v>4.8178986534325494</v>
      </c>
      <c r="O324" s="1">
        <f t="shared" si="189"/>
        <v>14</v>
      </c>
      <c r="P324" s="1">
        <f t="shared" si="190"/>
        <v>5</v>
      </c>
    </row>
    <row r="325" spans="1:17" ht="13.2">
      <c r="C325" s="1">
        <f t="shared" si="191"/>
        <v>30</v>
      </c>
      <c r="D325" s="1">
        <v>4107</v>
      </c>
      <c r="E325" s="80">
        <f t="shared" si="184"/>
        <v>64</v>
      </c>
      <c r="F325" s="1">
        <v>4951</v>
      </c>
      <c r="G325" s="80">
        <f t="shared" si="185"/>
        <v>70</v>
      </c>
      <c r="H325" s="1">
        <v>10</v>
      </c>
      <c r="I325" s="80">
        <f t="shared" si="186"/>
        <v>3</v>
      </c>
      <c r="L325" s="1">
        <f t="shared" si="187"/>
        <v>10.919692552345614</v>
      </c>
      <c r="M325" s="1">
        <f t="shared" si="188"/>
        <v>3.6220782522377641</v>
      </c>
      <c r="O325" s="1">
        <f t="shared" si="189"/>
        <v>11</v>
      </c>
      <c r="P325" s="1">
        <f t="shared" si="190"/>
        <v>4</v>
      </c>
    </row>
    <row r="326" spans="1:17" ht="13.2">
      <c r="A326" s="21" t="s">
        <v>99</v>
      </c>
      <c r="B326" s="21">
        <f>B312+15</f>
        <v>345</v>
      </c>
      <c r="C326" s="15" t="s">
        <v>38</v>
      </c>
      <c r="D326" s="15" t="s">
        <v>47</v>
      </c>
      <c r="E326" s="15" t="s">
        <v>44</v>
      </c>
      <c r="F326" s="15" t="s">
        <v>48</v>
      </c>
      <c r="G326" s="15" t="s">
        <v>44</v>
      </c>
      <c r="H326" s="15" t="s">
        <v>49</v>
      </c>
      <c r="I326" s="15" t="s">
        <v>44</v>
      </c>
    </row>
    <row r="327" spans="1:17" ht="13.2">
      <c r="C327" s="1">
        <v>-30</v>
      </c>
      <c r="D327" s="1">
        <v>4342</v>
      </c>
      <c r="E327" s="80">
        <f t="shared" ref="E327:E339" si="192">ROUND(SQRT(D327),0)</f>
        <v>66</v>
      </c>
      <c r="F327" s="1">
        <v>3973</v>
      </c>
      <c r="G327" s="80">
        <f t="shared" ref="G327:G339" si="193">ROUND(SQRT(F327),0)</f>
        <v>63</v>
      </c>
      <c r="H327" s="1">
        <v>3</v>
      </c>
      <c r="I327" s="80">
        <f t="shared" ref="I327:I339" si="194">ROUND(SQRT(H327),0)</f>
        <v>2</v>
      </c>
      <c r="K327" s="1">
        <f>B326</f>
        <v>345</v>
      </c>
      <c r="L327" s="1">
        <f t="shared" ref="L327:L339" si="195">H327*$F$356/$F$359</f>
        <v>3.2759077657036841</v>
      </c>
      <c r="M327" s="1">
        <f t="shared" ref="M327:M339" si="196">ABS($F$356/$F$359)*I327 + ABS(H327/$F$359)*$G$356+ ABS(H327*$F$356/$F$359/$F$359)*$G$359</f>
        <v>2.287789656429347</v>
      </c>
      <c r="O327" s="1">
        <f t="shared" ref="O327:O339" si="197">ROUND(L327,N327)</f>
        <v>3</v>
      </c>
      <c r="P327" s="1">
        <f t="shared" ref="P327:P339" si="198">ROUND(M327,N327)</f>
        <v>2</v>
      </c>
    </row>
    <row r="328" spans="1:17" ht="13.2">
      <c r="C328" s="1">
        <f t="shared" ref="C328:C339" si="199">C327+5</f>
        <v>-25</v>
      </c>
      <c r="D328" s="1">
        <v>4335</v>
      </c>
      <c r="E328" s="80">
        <f t="shared" si="192"/>
        <v>66</v>
      </c>
      <c r="F328" s="1">
        <v>4051</v>
      </c>
      <c r="G328" s="80">
        <f t="shared" si="193"/>
        <v>64</v>
      </c>
      <c r="H328" s="1">
        <v>7</v>
      </c>
      <c r="I328" s="80">
        <f t="shared" si="194"/>
        <v>3</v>
      </c>
      <c r="L328" s="1">
        <f t="shared" si="195"/>
        <v>7.6437847866419295</v>
      </c>
      <c r="M328" s="1">
        <f t="shared" si="196"/>
        <v>3.5182271062775401</v>
      </c>
      <c r="O328" s="1">
        <f t="shared" si="197"/>
        <v>8</v>
      </c>
      <c r="P328" s="1">
        <f t="shared" si="198"/>
        <v>4</v>
      </c>
    </row>
    <row r="329" spans="1:17" ht="13.2">
      <c r="C329" s="1">
        <f t="shared" si="199"/>
        <v>-20</v>
      </c>
      <c r="D329" s="1">
        <v>4398</v>
      </c>
      <c r="E329" s="80">
        <f t="shared" si="192"/>
        <v>66</v>
      </c>
      <c r="F329" s="1">
        <v>4145</v>
      </c>
      <c r="G329" s="80">
        <f t="shared" si="193"/>
        <v>64</v>
      </c>
      <c r="H329" s="1">
        <v>53</v>
      </c>
      <c r="I329" s="80">
        <f t="shared" si="194"/>
        <v>7</v>
      </c>
      <c r="L329" s="1">
        <f t="shared" si="195"/>
        <v>57.874370527431751</v>
      </c>
      <c r="M329" s="1">
        <f t="shared" si="196"/>
        <v>9.4784883652725522</v>
      </c>
      <c r="O329" s="1">
        <f t="shared" si="197"/>
        <v>58</v>
      </c>
      <c r="P329" s="1">
        <f t="shared" si="198"/>
        <v>9</v>
      </c>
    </row>
    <row r="330" spans="1:17" ht="13.2">
      <c r="C330" s="1">
        <f t="shared" si="199"/>
        <v>-15</v>
      </c>
      <c r="D330" s="1">
        <v>4463</v>
      </c>
      <c r="E330" s="80">
        <f t="shared" si="192"/>
        <v>67</v>
      </c>
      <c r="F330" s="1">
        <v>4259</v>
      </c>
      <c r="G330" s="80">
        <f t="shared" si="193"/>
        <v>65</v>
      </c>
      <c r="H330" s="1">
        <v>99</v>
      </c>
      <c r="I330" s="80">
        <f t="shared" si="194"/>
        <v>10</v>
      </c>
      <c r="L330" s="1">
        <f t="shared" si="195"/>
        <v>108.10495626822157</v>
      </c>
      <c r="M330" s="1">
        <f t="shared" si="196"/>
        <v>14.346780369033002</v>
      </c>
      <c r="O330" s="1">
        <f t="shared" si="197"/>
        <v>108</v>
      </c>
      <c r="P330" s="1">
        <f t="shared" si="198"/>
        <v>14</v>
      </c>
      <c r="Q330" s="1" t="s">
        <v>223</v>
      </c>
    </row>
    <row r="331" spans="1:17" ht="13.2">
      <c r="C331" s="1">
        <f t="shared" si="199"/>
        <v>-10</v>
      </c>
      <c r="D331" s="1">
        <v>4289</v>
      </c>
      <c r="E331" s="80">
        <f t="shared" si="192"/>
        <v>65</v>
      </c>
      <c r="F331" s="1">
        <v>4244</v>
      </c>
      <c r="G331" s="80">
        <f t="shared" si="193"/>
        <v>65</v>
      </c>
      <c r="H331" s="1">
        <v>155</v>
      </c>
      <c r="I331" s="80">
        <f t="shared" si="194"/>
        <v>12</v>
      </c>
      <c r="L331" s="1">
        <f t="shared" si="195"/>
        <v>169.25523456135701</v>
      </c>
      <c r="M331" s="1">
        <f t="shared" si="196"/>
        <v>18.469273604092972</v>
      </c>
      <c r="O331" s="1">
        <f t="shared" si="197"/>
        <v>169</v>
      </c>
      <c r="P331" s="1">
        <f t="shared" si="198"/>
        <v>18</v>
      </c>
    </row>
    <row r="332" spans="1:17" ht="13.2">
      <c r="C332" s="1">
        <f t="shared" si="199"/>
        <v>-5</v>
      </c>
      <c r="D332" s="1">
        <v>4305</v>
      </c>
      <c r="E332" s="80">
        <f t="shared" si="192"/>
        <v>66</v>
      </c>
      <c r="F332" s="1">
        <v>4411</v>
      </c>
      <c r="G332" s="80">
        <f t="shared" si="193"/>
        <v>66</v>
      </c>
      <c r="H332" s="1">
        <v>188</v>
      </c>
      <c r="I332" s="80">
        <f t="shared" si="194"/>
        <v>14</v>
      </c>
      <c r="L332" s="1">
        <f t="shared" si="195"/>
        <v>205.29021998409755</v>
      </c>
      <c r="M332" s="1">
        <f t="shared" si="196"/>
        <v>21.795574720124559</v>
      </c>
      <c r="O332" s="1">
        <f t="shared" si="197"/>
        <v>205</v>
      </c>
      <c r="P332" s="1">
        <f t="shared" si="198"/>
        <v>22</v>
      </c>
    </row>
    <row r="333" spans="1:17" ht="13.2">
      <c r="C333" s="1">
        <f t="shared" si="199"/>
        <v>0</v>
      </c>
      <c r="D333" s="1">
        <v>4254</v>
      </c>
      <c r="E333" s="80">
        <f t="shared" si="192"/>
        <v>65</v>
      </c>
      <c r="F333" s="1">
        <v>4472</v>
      </c>
      <c r="G333" s="80">
        <f t="shared" si="193"/>
        <v>67</v>
      </c>
      <c r="H333" s="1">
        <v>209</v>
      </c>
      <c r="I333" s="80">
        <f t="shared" si="194"/>
        <v>14</v>
      </c>
      <c r="L333" s="1">
        <f t="shared" si="195"/>
        <v>228.22157434402331</v>
      </c>
      <c r="M333" s="1">
        <f t="shared" si="196"/>
        <v>22.522532741846124</v>
      </c>
      <c r="O333" s="1">
        <f t="shared" si="197"/>
        <v>228</v>
      </c>
      <c r="P333" s="1">
        <f t="shared" si="198"/>
        <v>23</v>
      </c>
    </row>
    <row r="334" spans="1:17" ht="13.2">
      <c r="C334" s="1">
        <f t="shared" si="199"/>
        <v>5</v>
      </c>
      <c r="D334" s="1">
        <v>4308</v>
      </c>
      <c r="E334" s="80">
        <f t="shared" si="192"/>
        <v>66</v>
      </c>
      <c r="F334" s="1">
        <v>4639</v>
      </c>
      <c r="G334" s="80">
        <f t="shared" si="193"/>
        <v>68</v>
      </c>
      <c r="H334" s="1">
        <v>293</v>
      </c>
      <c r="I334" s="80">
        <f t="shared" si="194"/>
        <v>17</v>
      </c>
      <c r="L334" s="1">
        <f t="shared" si="195"/>
        <v>319.9469917837265</v>
      </c>
      <c r="M334" s="1">
        <f t="shared" si="196"/>
        <v>28.706272594436079</v>
      </c>
      <c r="O334" s="1">
        <f t="shared" si="197"/>
        <v>320</v>
      </c>
      <c r="P334" s="1">
        <f t="shared" si="198"/>
        <v>29</v>
      </c>
    </row>
    <row r="335" spans="1:17" ht="13.2">
      <c r="C335" s="1">
        <f t="shared" si="199"/>
        <v>10</v>
      </c>
      <c r="D335" s="1">
        <v>4364</v>
      </c>
      <c r="E335" s="80">
        <f t="shared" si="192"/>
        <v>66</v>
      </c>
      <c r="F335" s="1">
        <v>4722</v>
      </c>
      <c r="G335" s="80">
        <f t="shared" si="193"/>
        <v>69</v>
      </c>
      <c r="H335" s="1">
        <v>359</v>
      </c>
      <c r="I335" s="80">
        <f t="shared" si="194"/>
        <v>19</v>
      </c>
      <c r="L335" s="1">
        <f t="shared" si="195"/>
        <v>392.01696262920751</v>
      </c>
      <c r="M335" s="1">
        <f t="shared" si="196"/>
        <v>33.174936316030127</v>
      </c>
      <c r="O335" s="1">
        <f t="shared" si="197"/>
        <v>392</v>
      </c>
      <c r="P335" s="1">
        <f t="shared" si="198"/>
        <v>33</v>
      </c>
    </row>
    <row r="336" spans="1:17" ht="13.2">
      <c r="C336" s="1">
        <f t="shared" si="199"/>
        <v>15</v>
      </c>
      <c r="D336" s="1">
        <v>4351</v>
      </c>
      <c r="E336" s="80">
        <f t="shared" si="192"/>
        <v>66</v>
      </c>
      <c r="F336" s="1">
        <v>4814</v>
      </c>
      <c r="G336" s="80">
        <f t="shared" si="193"/>
        <v>69</v>
      </c>
      <c r="H336" s="1">
        <v>329</v>
      </c>
      <c r="I336" s="80">
        <f t="shared" si="194"/>
        <v>18</v>
      </c>
      <c r="L336" s="1">
        <f t="shared" si="195"/>
        <v>359.2578849721707</v>
      </c>
      <c r="M336" s="1">
        <f t="shared" si="196"/>
        <v>31.044455601193324</v>
      </c>
      <c r="O336" s="1">
        <f t="shared" si="197"/>
        <v>359</v>
      </c>
      <c r="P336" s="1">
        <f t="shared" si="198"/>
        <v>31</v>
      </c>
    </row>
    <row r="337" spans="1:17" ht="13.2">
      <c r="C337" s="1">
        <f t="shared" si="199"/>
        <v>20</v>
      </c>
      <c r="D337" s="1">
        <v>4374</v>
      </c>
      <c r="E337" s="80">
        <f t="shared" si="192"/>
        <v>66</v>
      </c>
      <c r="F337" s="1">
        <v>4800</v>
      </c>
      <c r="G337" s="80">
        <f t="shared" si="193"/>
        <v>69</v>
      </c>
      <c r="H337" s="1">
        <v>215</v>
      </c>
      <c r="I337" s="80">
        <f t="shared" si="194"/>
        <v>15</v>
      </c>
      <c r="L337" s="1">
        <f t="shared" si="195"/>
        <v>234.77338987543069</v>
      </c>
      <c r="M337" s="1">
        <f t="shared" si="196"/>
        <v>23.822204289001135</v>
      </c>
      <c r="O337" s="1">
        <f t="shared" si="197"/>
        <v>235</v>
      </c>
      <c r="P337" s="1">
        <f t="shared" si="198"/>
        <v>24</v>
      </c>
    </row>
    <row r="338" spans="1:17" ht="13.2">
      <c r="C338" s="1">
        <f t="shared" si="199"/>
        <v>25</v>
      </c>
      <c r="D338" s="1">
        <v>4380</v>
      </c>
      <c r="E338" s="80">
        <f t="shared" si="192"/>
        <v>66</v>
      </c>
      <c r="F338" s="1">
        <v>4678</v>
      </c>
      <c r="G338" s="80">
        <f t="shared" si="193"/>
        <v>68</v>
      </c>
      <c r="H338" s="1">
        <v>37</v>
      </c>
      <c r="I338" s="80">
        <f t="shared" si="194"/>
        <v>6</v>
      </c>
      <c r="L338" s="1">
        <f t="shared" si="195"/>
        <v>40.402862443678771</v>
      </c>
      <c r="M338" s="1">
        <f t="shared" si="196"/>
        <v>7.8326463315834634</v>
      </c>
      <c r="O338" s="1">
        <f t="shared" si="197"/>
        <v>40</v>
      </c>
      <c r="P338" s="1">
        <f t="shared" si="198"/>
        <v>8</v>
      </c>
    </row>
    <row r="339" spans="1:17" ht="13.2">
      <c r="C339" s="1">
        <f t="shared" si="199"/>
        <v>30</v>
      </c>
      <c r="D339" s="1">
        <v>4286</v>
      </c>
      <c r="E339" s="80">
        <f t="shared" si="192"/>
        <v>65</v>
      </c>
      <c r="F339" s="1">
        <v>4735</v>
      </c>
      <c r="G339" s="80">
        <f t="shared" si="193"/>
        <v>69</v>
      </c>
      <c r="H339" s="1">
        <v>11</v>
      </c>
      <c r="I339" s="80">
        <f t="shared" si="194"/>
        <v>3</v>
      </c>
      <c r="L339" s="1">
        <f t="shared" si="195"/>
        <v>12.011661807580175</v>
      </c>
      <c r="M339" s="1">
        <f t="shared" si="196"/>
        <v>3.6566953008911725</v>
      </c>
      <c r="O339" s="1">
        <f t="shared" si="197"/>
        <v>12</v>
      </c>
      <c r="P339" s="1">
        <f t="shared" si="198"/>
        <v>4</v>
      </c>
    </row>
    <row r="340" spans="1:17" ht="13.2">
      <c r="A340" s="21" t="s">
        <v>99</v>
      </c>
      <c r="B340" s="21">
        <f>B326+15</f>
        <v>360</v>
      </c>
      <c r="C340" s="15" t="s">
        <v>38</v>
      </c>
      <c r="D340" s="15" t="s">
        <v>47</v>
      </c>
      <c r="E340" s="15" t="s">
        <v>44</v>
      </c>
      <c r="F340" s="15" t="s">
        <v>48</v>
      </c>
      <c r="G340" s="15" t="s">
        <v>44</v>
      </c>
      <c r="H340" s="15" t="s">
        <v>49</v>
      </c>
      <c r="I340" s="15" t="s">
        <v>44</v>
      </c>
    </row>
    <row r="341" spans="1:17" ht="13.2">
      <c r="C341" s="1">
        <v>-30</v>
      </c>
      <c r="D341" s="1">
        <v>4262</v>
      </c>
      <c r="E341" s="80">
        <f t="shared" ref="E341:E353" si="200">ROUND(SQRT(D341),0)</f>
        <v>65</v>
      </c>
      <c r="F341" s="1">
        <v>3761</v>
      </c>
      <c r="G341" s="80">
        <f t="shared" ref="G341:G353" si="201">ROUND(SQRT(F341),0)</f>
        <v>61</v>
      </c>
      <c r="H341" s="1">
        <v>12</v>
      </c>
      <c r="I341" s="80">
        <f t="shared" ref="I341:I353" si="202">ROUND(SQRT(H341),0)</f>
        <v>3</v>
      </c>
      <c r="K341" s="1">
        <f>B340</f>
        <v>360</v>
      </c>
      <c r="L341" s="1">
        <f t="shared" ref="L341:L353" si="203">H341*$F$356/$F$359</f>
        <v>13.103631062814737</v>
      </c>
      <c r="M341" s="1">
        <f t="shared" ref="M341:M353" si="204">ABS($F$356/$F$359)*I341 + ABS(H341/$F$359)*$G$356+ ABS(H341*$F$356/$F$359/$F$359)*$G$359</f>
        <v>3.6913123495445799</v>
      </c>
      <c r="O341" s="1">
        <f t="shared" ref="O341:O353" si="205">ROUND(L341,N341)</f>
        <v>13</v>
      </c>
      <c r="P341" s="1">
        <f t="shared" ref="P341:P353" si="206">ROUND(M341,N341)</f>
        <v>4</v>
      </c>
    </row>
    <row r="342" spans="1:17" ht="13.2">
      <c r="C342" s="1">
        <f t="shared" ref="C342:C353" si="207">C341+5</f>
        <v>-25</v>
      </c>
      <c r="D342" s="1">
        <v>4234</v>
      </c>
      <c r="E342" s="80">
        <f t="shared" si="200"/>
        <v>65</v>
      </c>
      <c r="F342" s="1">
        <v>3810</v>
      </c>
      <c r="G342" s="80">
        <f t="shared" si="201"/>
        <v>62</v>
      </c>
      <c r="H342" s="1">
        <v>29</v>
      </c>
      <c r="I342" s="80">
        <f t="shared" si="202"/>
        <v>5</v>
      </c>
      <c r="L342" s="1">
        <f t="shared" si="203"/>
        <v>31.667108401802281</v>
      </c>
      <c r="M342" s="1">
        <f t="shared" si="204"/>
        <v>6.4637406871216374</v>
      </c>
      <c r="O342" s="1">
        <f t="shared" si="205"/>
        <v>32</v>
      </c>
      <c r="P342" s="1">
        <f t="shared" si="206"/>
        <v>6</v>
      </c>
    </row>
    <row r="343" spans="1:17" ht="13.2">
      <c r="C343" s="1">
        <f t="shared" si="207"/>
        <v>-20</v>
      </c>
      <c r="D343" s="1">
        <v>4369</v>
      </c>
      <c r="E343" s="80">
        <f t="shared" si="200"/>
        <v>66</v>
      </c>
      <c r="F343" s="1">
        <v>4014</v>
      </c>
      <c r="G343" s="80">
        <f t="shared" si="201"/>
        <v>63</v>
      </c>
      <c r="H343" s="1">
        <v>85</v>
      </c>
      <c r="I343" s="80">
        <f t="shared" si="202"/>
        <v>9</v>
      </c>
      <c r="L343" s="1">
        <f t="shared" si="203"/>
        <v>92.81738669493771</v>
      </c>
      <c r="M343" s="1">
        <f t="shared" si="204"/>
        <v>12.770172432650728</v>
      </c>
      <c r="O343" s="1">
        <f t="shared" si="205"/>
        <v>93</v>
      </c>
      <c r="P343" s="1">
        <f t="shared" si="206"/>
        <v>13</v>
      </c>
    </row>
    <row r="344" spans="1:17" ht="13.2">
      <c r="C344" s="1">
        <f t="shared" si="207"/>
        <v>-15</v>
      </c>
      <c r="D344" s="1">
        <v>4346</v>
      </c>
      <c r="E344" s="80">
        <f t="shared" si="200"/>
        <v>66</v>
      </c>
      <c r="F344" s="1">
        <v>3955</v>
      </c>
      <c r="G344" s="80">
        <f t="shared" si="201"/>
        <v>63</v>
      </c>
      <c r="H344" s="1">
        <v>148</v>
      </c>
      <c r="I344" s="80">
        <f t="shared" si="202"/>
        <v>12</v>
      </c>
      <c r="L344" s="1">
        <f t="shared" si="203"/>
        <v>161.61144977471508</v>
      </c>
      <c r="M344" s="1">
        <f t="shared" si="204"/>
        <v>18.226954263519119</v>
      </c>
      <c r="O344" s="1">
        <f t="shared" si="205"/>
        <v>162</v>
      </c>
      <c r="P344" s="1">
        <f t="shared" si="206"/>
        <v>18</v>
      </c>
    </row>
    <row r="345" spans="1:17" ht="13.2">
      <c r="C345" s="1">
        <f t="shared" si="207"/>
        <v>-10</v>
      </c>
      <c r="D345" s="1">
        <v>4449</v>
      </c>
      <c r="E345" s="80">
        <f t="shared" si="200"/>
        <v>67</v>
      </c>
      <c r="F345" s="1">
        <v>3960</v>
      </c>
      <c r="G345" s="80">
        <f t="shared" si="201"/>
        <v>63</v>
      </c>
      <c r="H345" s="1">
        <v>178</v>
      </c>
      <c r="I345" s="80">
        <f t="shared" si="202"/>
        <v>13</v>
      </c>
      <c r="L345" s="1">
        <f t="shared" si="203"/>
        <v>194.37052743175192</v>
      </c>
      <c r="M345" s="1">
        <f t="shared" si="204"/>
        <v>20.357434978355919</v>
      </c>
      <c r="O345" s="1">
        <f t="shared" si="205"/>
        <v>194</v>
      </c>
      <c r="P345" s="1">
        <f t="shared" si="206"/>
        <v>20</v>
      </c>
    </row>
    <row r="346" spans="1:17" ht="13.2">
      <c r="C346" s="1">
        <f t="shared" si="207"/>
        <v>-5</v>
      </c>
      <c r="D346" s="1">
        <v>4398</v>
      </c>
      <c r="E346" s="80">
        <f t="shared" si="200"/>
        <v>66</v>
      </c>
      <c r="F346" s="1">
        <v>4196</v>
      </c>
      <c r="G346" s="80">
        <f t="shared" si="201"/>
        <v>65</v>
      </c>
      <c r="H346" s="1">
        <v>156</v>
      </c>
      <c r="I346" s="80">
        <f t="shared" si="202"/>
        <v>12</v>
      </c>
      <c r="L346" s="1">
        <f t="shared" si="203"/>
        <v>170.34720381659156</v>
      </c>
      <c r="M346" s="1">
        <f t="shared" si="204"/>
        <v>18.503890652746378</v>
      </c>
      <c r="O346" s="1">
        <f t="shared" si="205"/>
        <v>170</v>
      </c>
      <c r="P346" s="1">
        <f t="shared" si="206"/>
        <v>19</v>
      </c>
    </row>
    <row r="347" spans="1:17" ht="13.2">
      <c r="C347" s="1">
        <f t="shared" si="207"/>
        <v>0</v>
      </c>
      <c r="D347" s="1">
        <v>4430</v>
      </c>
      <c r="E347" s="80">
        <f t="shared" si="200"/>
        <v>67</v>
      </c>
      <c r="F347" s="1">
        <v>4118</v>
      </c>
      <c r="G347" s="80">
        <f t="shared" si="201"/>
        <v>64</v>
      </c>
      <c r="H347" s="1">
        <v>97</v>
      </c>
      <c r="I347" s="80">
        <f t="shared" si="202"/>
        <v>10</v>
      </c>
      <c r="L347" s="1">
        <f t="shared" si="203"/>
        <v>105.92101775775245</v>
      </c>
      <c r="M347" s="1">
        <f t="shared" si="204"/>
        <v>14.277546271726186</v>
      </c>
      <c r="O347" s="1">
        <f t="shared" si="205"/>
        <v>106</v>
      </c>
      <c r="P347" s="1">
        <f t="shared" si="206"/>
        <v>14</v>
      </c>
      <c r="Q347" s="1" t="s">
        <v>223</v>
      </c>
    </row>
    <row r="348" spans="1:17" ht="13.2">
      <c r="C348" s="1">
        <f t="shared" si="207"/>
        <v>5</v>
      </c>
      <c r="D348" s="1">
        <v>4369</v>
      </c>
      <c r="E348" s="80">
        <f t="shared" si="200"/>
        <v>66</v>
      </c>
      <c r="F348" s="1">
        <v>4286</v>
      </c>
      <c r="G348" s="80">
        <f t="shared" si="201"/>
        <v>65</v>
      </c>
      <c r="H348" s="1">
        <v>135</v>
      </c>
      <c r="I348" s="80">
        <f t="shared" si="202"/>
        <v>12</v>
      </c>
      <c r="L348" s="1">
        <f t="shared" si="203"/>
        <v>147.4158494566658</v>
      </c>
      <c r="M348" s="1">
        <f t="shared" si="204"/>
        <v>17.776932631024813</v>
      </c>
      <c r="O348" s="1">
        <f t="shared" si="205"/>
        <v>147</v>
      </c>
      <c r="P348" s="1">
        <f t="shared" si="206"/>
        <v>18</v>
      </c>
    </row>
    <row r="349" spans="1:17" ht="13.2">
      <c r="C349" s="1">
        <f t="shared" si="207"/>
        <v>10</v>
      </c>
      <c r="D349" s="1">
        <v>4468</v>
      </c>
      <c r="E349" s="80">
        <f t="shared" si="200"/>
        <v>67</v>
      </c>
      <c r="F349" s="1">
        <v>4421</v>
      </c>
      <c r="G349" s="80">
        <f t="shared" si="201"/>
        <v>66</v>
      </c>
      <c r="H349" s="1">
        <v>259</v>
      </c>
      <c r="I349" s="80">
        <f t="shared" si="202"/>
        <v>16</v>
      </c>
      <c r="L349" s="1">
        <f t="shared" si="203"/>
        <v>282.8200371057514</v>
      </c>
      <c r="M349" s="1">
        <f t="shared" si="204"/>
        <v>26.43732368498565</v>
      </c>
      <c r="O349" s="1">
        <f t="shared" si="205"/>
        <v>283</v>
      </c>
      <c r="P349" s="1">
        <f t="shared" si="206"/>
        <v>26</v>
      </c>
    </row>
    <row r="350" spans="1:17" ht="13.2">
      <c r="C350" s="1">
        <f t="shared" si="207"/>
        <v>15</v>
      </c>
      <c r="D350" s="1">
        <v>4344</v>
      </c>
      <c r="E350" s="80">
        <f t="shared" si="200"/>
        <v>66</v>
      </c>
      <c r="F350" s="1">
        <v>4360</v>
      </c>
      <c r="G350" s="80">
        <f t="shared" si="201"/>
        <v>66</v>
      </c>
      <c r="H350" s="1">
        <v>341</v>
      </c>
      <c r="I350" s="80">
        <f t="shared" si="202"/>
        <v>18</v>
      </c>
      <c r="L350" s="1">
        <f t="shared" si="203"/>
        <v>372.36151603498541</v>
      </c>
      <c r="M350" s="1">
        <f t="shared" si="204"/>
        <v>31.45986018503422</v>
      </c>
      <c r="O350" s="1">
        <f t="shared" si="205"/>
        <v>372</v>
      </c>
      <c r="P350" s="1">
        <f t="shared" si="206"/>
        <v>31</v>
      </c>
    </row>
    <row r="351" spans="1:17" ht="13.2">
      <c r="C351" s="1">
        <f t="shared" si="207"/>
        <v>20</v>
      </c>
      <c r="D351" s="1">
        <v>4413</v>
      </c>
      <c r="E351" s="80">
        <f t="shared" si="200"/>
        <v>66</v>
      </c>
      <c r="F351" s="1">
        <v>4578</v>
      </c>
      <c r="G351" s="80">
        <f t="shared" si="201"/>
        <v>68</v>
      </c>
      <c r="H351" s="1">
        <v>292</v>
      </c>
      <c r="I351" s="80">
        <f t="shared" si="202"/>
        <v>17</v>
      </c>
      <c r="L351" s="1">
        <f t="shared" si="203"/>
        <v>318.85502252849193</v>
      </c>
      <c r="M351" s="1">
        <f t="shared" si="204"/>
        <v>28.67165554578267</v>
      </c>
      <c r="O351" s="1">
        <f t="shared" si="205"/>
        <v>319</v>
      </c>
      <c r="P351" s="1">
        <f t="shared" si="206"/>
        <v>29</v>
      </c>
    </row>
    <row r="352" spans="1:17" ht="13.2">
      <c r="C352" s="1">
        <f t="shared" si="207"/>
        <v>25</v>
      </c>
      <c r="D352" s="1">
        <v>4419</v>
      </c>
      <c r="E352" s="80">
        <f t="shared" si="200"/>
        <v>66</v>
      </c>
      <c r="F352" s="1">
        <v>4538</v>
      </c>
      <c r="G352" s="80">
        <f t="shared" si="201"/>
        <v>67</v>
      </c>
      <c r="H352" s="1">
        <v>115</v>
      </c>
      <c r="I352" s="80">
        <f t="shared" si="202"/>
        <v>11</v>
      </c>
      <c r="L352" s="1">
        <f t="shared" si="203"/>
        <v>125.57646435197455</v>
      </c>
      <c r="M352" s="1">
        <f t="shared" si="204"/>
        <v>15.992622402722091</v>
      </c>
      <c r="O352" s="1">
        <f t="shared" si="205"/>
        <v>126</v>
      </c>
      <c r="P352" s="1">
        <f t="shared" si="206"/>
        <v>16</v>
      </c>
    </row>
    <row r="353" spans="1:16" ht="13.2">
      <c r="C353" s="1">
        <f t="shared" si="207"/>
        <v>30</v>
      </c>
      <c r="D353" s="1">
        <v>4314</v>
      </c>
      <c r="E353" s="80">
        <f t="shared" si="200"/>
        <v>66</v>
      </c>
      <c r="F353" s="1">
        <v>4786</v>
      </c>
      <c r="G353" s="80">
        <f t="shared" si="201"/>
        <v>69</v>
      </c>
      <c r="H353" s="1">
        <v>18</v>
      </c>
      <c r="I353" s="80">
        <f t="shared" si="202"/>
        <v>4</v>
      </c>
      <c r="L353" s="1">
        <f t="shared" si="203"/>
        <v>19.655446594222106</v>
      </c>
      <c r="M353" s="1">
        <f t="shared" si="204"/>
        <v>4.9909838966995892</v>
      </c>
      <c r="O353" s="1">
        <f t="shared" si="205"/>
        <v>20</v>
      </c>
      <c r="P353" s="1">
        <f t="shared" si="206"/>
        <v>5</v>
      </c>
    </row>
    <row r="355" spans="1:16" ht="13.2">
      <c r="A355" s="1" t="s">
        <v>224</v>
      </c>
      <c r="B355" s="15" t="s">
        <v>47</v>
      </c>
      <c r="C355" s="15" t="s">
        <v>44</v>
      </c>
      <c r="D355" s="15" t="s">
        <v>48</v>
      </c>
      <c r="E355" s="15" t="s">
        <v>44</v>
      </c>
      <c r="F355" s="15" t="s">
        <v>49</v>
      </c>
      <c r="G355" s="15" t="s">
        <v>44</v>
      </c>
      <c r="H355" s="1" t="s">
        <v>225</v>
      </c>
      <c r="K355" s="1" t="s">
        <v>226</v>
      </c>
    </row>
    <row r="356" spans="1:16" ht="13.2">
      <c r="B356" s="1">
        <v>25563</v>
      </c>
      <c r="C356" s="80">
        <f>ROUND(SQRT(B356),0)</f>
        <v>160</v>
      </c>
      <c r="D356" s="1">
        <v>29843</v>
      </c>
      <c r="E356" s="80">
        <f>ROUND(SQRT(D356),0)</f>
        <v>173</v>
      </c>
      <c r="F356" s="1">
        <v>4120</v>
      </c>
      <c r="G356" s="80">
        <f>ROUND(SQRT(F356),0)</f>
        <v>64</v>
      </c>
    </row>
    <row r="358" spans="1:16" ht="13.2">
      <c r="A358" s="1" t="s">
        <v>227</v>
      </c>
      <c r="B358" s="15" t="s">
        <v>47</v>
      </c>
      <c r="C358" s="15" t="s">
        <v>44</v>
      </c>
      <c r="D358" s="15" t="s">
        <v>48</v>
      </c>
      <c r="E358" s="15" t="s">
        <v>44</v>
      </c>
      <c r="F358" s="15" t="s">
        <v>49</v>
      </c>
      <c r="G358" s="15" t="s">
        <v>44</v>
      </c>
      <c r="H358" s="1" t="s">
        <v>225</v>
      </c>
    </row>
    <row r="359" spans="1:16" ht="13.2">
      <c r="B359" s="1">
        <v>25890</v>
      </c>
      <c r="C359" s="80">
        <f>ROUND(SQRT(B359),0)</f>
        <v>161</v>
      </c>
      <c r="D359" s="1">
        <v>26112</v>
      </c>
      <c r="E359" s="80">
        <f>ROUND(SQRT(D359),0)</f>
        <v>162</v>
      </c>
      <c r="F359" s="1">
        <v>3773</v>
      </c>
      <c r="G359" s="80">
        <f>ROUND(SQRT(F359),0)</f>
        <v>61</v>
      </c>
    </row>
    <row r="360" spans="1:16" ht="13.2">
      <c r="C360" s="1" t="s">
        <v>228</v>
      </c>
      <c r="I360" s="1">
        <f>F356/F359</f>
        <v>1.0919692552345615</v>
      </c>
      <c r="J360" s="1">
        <f>F356/F359/F359*G359 + G356/F359</f>
        <v>3.4617048653407964E-2</v>
      </c>
    </row>
    <row r="362" spans="1:16" ht="13.2">
      <c r="A362" s="1" t="s">
        <v>229</v>
      </c>
      <c r="B362" s="1">
        <v>2E-3</v>
      </c>
    </row>
    <row r="363" spans="1:16" ht="13.2">
      <c r="A363" s="1">
        <v>0.95599999999999996</v>
      </c>
      <c r="B363" s="1">
        <v>13305</v>
      </c>
      <c r="C363" s="80">
        <f t="shared" ref="C363:C366" si="208">ROUND(SQRT(B363),0)</f>
        <v>115</v>
      </c>
      <c r="D363" s="1">
        <v>13760</v>
      </c>
      <c r="E363" s="80">
        <f t="shared" ref="E363:E366" si="209">ROUND(SQRT(D363),0)</f>
        <v>117</v>
      </c>
      <c r="F363" s="1">
        <v>1145</v>
      </c>
      <c r="G363" s="80">
        <f t="shared" ref="G363:G366" si="210">ROUND(SQRT(F363),0)</f>
        <v>34</v>
      </c>
      <c r="J363" s="1" t="s">
        <v>230</v>
      </c>
    </row>
    <row r="364" spans="1:16" ht="13.2">
      <c r="A364" s="47">
        <v>1.64</v>
      </c>
      <c r="B364" s="1">
        <v>13350</v>
      </c>
      <c r="C364" s="80">
        <f t="shared" si="208"/>
        <v>116</v>
      </c>
      <c r="D364" s="1">
        <v>13059</v>
      </c>
      <c r="E364" s="80">
        <f t="shared" si="209"/>
        <v>114</v>
      </c>
      <c r="F364" s="1">
        <v>530</v>
      </c>
      <c r="G364" s="80">
        <f t="shared" si="210"/>
        <v>23</v>
      </c>
    </row>
    <row r="365" spans="1:16" ht="13.2">
      <c r="A365" s="47">
        <v>2.56</v>
      </c>
      <c r="B365" s="1">
        <v>13307</v>
      </c>
      <c r="C365" s="80">
        <f t="shared" si="208"/>
        <v>115</v>
      </c>
      <c r="D365" s="1">
        <v>13586</v>
      </c>
      <c r="E365" s="80">
        <f t="shared" si="209"/>
        <v>117</v>
      </c>
      <c r="F365" s="1">
        <v>65</v>
      </c>
      <c r="G365" s="80">
        <f t="shared" si="210"/>
        <v>8</v>
      </c>
      <c r="I365" s="1" t="s">
        <v>231</v>
      </c>
      <c r="J365" s="1" t="s">
        <v>232</v>
      </c>
    </row>
    <row r="366" spans="1:16" ht="13.2">
      <c r="A366" s="1">
        <v>3.1680000000000001</v>
      </c>
      <c r="B366" s="1">
        <v>12663</v>
      </c>
      <c r="C366" s="80">
        <f t="shared" si="208"/>
        <v>113</v>
      </c>
      <c r="D366" s="1">
        <v>13663</v>
      </c>
      <c r="E366" s="80">
        <f t="shared" si="209"/>
        <v>117</v>
      </c>
      <c r="F366" s="1">
        <v>24</v>
      </c>
      <c r="G366" s="80">
        <f t="shared" si="210"/>
        <v>5</v>
      </c>
    </row>
    <row r="370" spans="1:11" ht="13.2">
      <c r="A370" s="1" t="s">
        <v>175</v>
      </c>
      <c r="B370" s="1" t="s">
        <v>233</v>
      </c>
      <c r="D370" s="1" t="s">
        <v>234</v>
      </c>
      <c r="F370" s="1" t="s">
        <v>235</v>
      </c>
    </row>
    <row r="371" spans="1:11" ht="13.2">
      <c r="A371" s="1">
        <v>180</v>
      </c>
      <c r="B371" s="1">
        <v>13258</v>
      </c>
      <c r="C371" s="80">
        <f t="shared" ref="C371:C374" si="211">ROUND(SQRT(B371),0)</f>
        <v>115</v>
      </c>
      <c r="D371" s="1">
        <v>13410</v>
      </c>
      <c r="E371" s="80">
        <f t="shared" ref="E371:E374" si="212">ROUND(SQRT(D371),0)</f>
        <v>116</v>
      </c>
      <c r="F371" s="1">
        <v>2001</v>
      </c>
      <c r="G371" s="80">
        <f t="shared" ref="G371:G374" si="213">ROUND(SQRT(F371),0)</f>
        <v>45</v>
      </c>
      <c r="J371" s="1" t="s">
        <v>230</v>
      </c>
    </row>
    <row r="372" spans="1:11" ht="13.2">
      <c r="A372" s="1">
        <f t="shared" ref="A372:A374" si="214">A371+90</f>
        <v>270</v>
      </c>
      <c r="B372" s="1">
        <v>13202</v>
      </c>
      <c r="C372" s="80">
        <f t="shared" si="211"/>
        <v>115</v>
      </c>
      <c r="D372" s="1">
        <v>5816</v>
      </c>
      <c r="E372" s="80">
        <f t="shared" si="212"/>
        <v>76</v>
      </c>
      <c r="F372" s="1">
        <v>536</v>
      </c>
      <c r="G372" s="80">
        <f t="shared" si="213"/>
        <v>23</v>
      </c>
    </row>
    <row r="373" spans="1:11" ht="13.2">
      <c r="A373" s="1">
        <f t="shared" si="214"/>
        <v>360</v>
      </c>
      <c r="B373" s="1">
        <v>13253</v>
      </c>
      <c r="C373" s="80">
        <f t="shared" si="211"/>
        <v>115</v>
      </c>
      <c r="D373" s="1">
        <v>12971</v>
      </c>
      <c r="E373" s="80">
        <f t="shared" si="212"/>
        <v>114</v>
      </c>
      <c r="F373" s="1">
        <v>1938</v>
      </c>
      <c r="G373" s="80">
        <f t="shared" si="213"/>
        <v>44</v>
      </c>
    </row>
    <row r="374" spans="1:11" ht="13.2">
      <c r="A374" s="1">
        <f t="shared" si="214"/>
        <v>450</v>
      </c>
      <c r="B374" s="1">
        <v>5794</v>
      </c>
      <c r="C374" s="80">
        <f t="shared" si="211"/>
        <v>76</v>
      </c>
      <c r="D374" s="1">
        <v>13086</v>
      </c>
      <c r="E374" s="80">
        <f t="shared" si="212"/>
        <v>114</v>
      </c>
      <c r="F374" s="1">
        <v>529</v>
      </c>
      <c r="G374" s="80">
        <f t="shared" si="213"/>
        <v>23</v>
      </c>
    </row>
    <row r="377" spans="1:11" ht="13.2">
      <c r="A377" s="1" t="s">
        <v>236</v>
      </c>
      <c r="B377" s="1">
        <f>(B372+B374)/(B371+B373)*100</f>
        <v>71.653275998642073</v>
      </c>
      <c r="D377" s="1">
        <f>(D372+D374)/(D371+D373)*100</f>
        <v>71.650051173192836</v>
      </c>
      <c r="F377" s="1">
        <f>(F372+F374)/(F371+F373)*100</f>
        <v>27.037319116527037</v>
      </c>
      <c r="H377" s="1" t="s">
        <v>237</v>
      </c>
    </row>
    <row r="378" spans="1:11" ht="13.2">
      <c r="B378" s="1">
        <f>(1-3*B374/(B371+B372+B373))*100</f>
        <v>56.230957117316748</v>
      </c>
      <c r="C378" s="1">
        <f>300*( ABS(C374/(B371+B372+B373)) +ABS(C373*B374/(B371+B372+B373)^2) +ABS(C372*B374/(B371+B372+B373)^2)+ABS(C371*B374/(B371+B372+B373)^2)              )</f>
        <v>0.95435549554366872</v>
      </c>
      <c r="D378" s="1">
        <f>(1-D372/AVERAGE(D371,D373,D374))*100</f>
        <v>55.790913928091825</v>
      </c>
      <c r="E378" s="1">
        <f>300*( ABS(E374/(D371+D372+D373)) +ABS(E373*D374/(D371+D372+D373)^2) +ABS(E372*D374/(D371+D372+D373)^2)+ABS(E371*D374/(D371+D372+D373)^2)              )</f>
        <v>2.2210382359841905</v>
      </c>
      <c r="F378" s="1" t="s">
        <v>238</v>
      </c>
      <c r="H378" s="1" t="s">
        <v>239</v>
      </c>
    </row>
    <row r="379" spans="1:11" ht="13.2">
      <c r="F379" s="1" t="s">
        <v>240</v>
      </c>
    </row>
    <row r="380" spans="1:11" ht="13.8">
      <c r="F380" s="85" t="s">
        <v>241</v>
      </c>
    </row>
    <row r="381" spans="1:11" ht="13.8">
      <c r="C381" s="1">
        <f>ABS(300 *B374  / (B371 +B372 + B373) ^ 2) * (C371 +C372  + C373) + ABS(-(300 / (B371 +B372  + B373))) * C374</f>
        <v>0.95435549554366883</v>
      </c>
      <c r="E381" s="1">
        <f>ABS(300 *D372  / (D371 +D373 + D374) ^ 2) * (E371 +E373  + E374) + ABS(-(300 / (D371 +D373  + D374))) * E372</f>
        <v>0.96303052192303484</v>
      </c>
      <c r="F381" s="85" t="s">
        <v>242</v>
      </c>
      <c r="H381" s="1" t="s">
        <v>243</v>
      </c>
      <c r="I381" s="64" t="s">
        <v>244</v>
      </c>
      <c r="K381" s="1" t="s">
        <v>245</v>
      </c>
    </row>
    <row r="382" spans="1:11" ht="13.8">
      <c r="F382" s="85" t="s">
        <v>246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000"/>
  <sheetViews>
    <sheetView workbookViewId="0"/>
  </sheetViews>
  <sheetFormatPr defaultColWidth="12.6640625" defaultRowHeight="15.75" customHeight="1"/>
  <sheetData>
    <row r="1" spans="1:4">
      <c r="A1" s="86">
        <v>-4</v>
      </c>
      <c r="B1" s="72">
        <v>0.05</v>
      </c>
      <c r="C1" s="72">
        <v>1521</v>
      </c>
      <c r="D1" s="72">
        <f t="shared" ref="D1:D9" si="0">ROUND(SQRT(C1),0)</f>
        <v>39</v>
      </c>
    </row>
    <row r="2" spans="1:4">
      <c r="A2" s="86">
        <v>-3</v>
      </c>
      <c r="B2" s="72">
        <v>0.05</v>
      </c>
      <c r="C2" s="72">
        <v>1693</v>
      </c>
      <c r="D2" s="72">
        <f t="shared" si="0"/>
        <v>41</v>
      </c>
    </row>
    <row r="3" spans="1:4">
      <c r="A3" s="86">
        <v>-2</v>
      </c>
      <c r="B3" s="72">
        <v>0.05</v>
      </c>
      <c r="C3" s="72">
        <v>2002</v>
      </c>
      <c r="D3" s="72">
        <f t="shared" si="0"/>
        <v>45</v>
      </c>
    </row>
    <row r="4" spans="1:4">
      <c r="A4" s="86">
        <v>-1</v>
      </c>
      <c r="B4" s="72">
        <v>0.05</v>
      </c>
      <c r="C4" s="72">
        <v>2153</v>
      </c>
      <c r="D4" s="72">
        <f t="shared" si="0"/>
        <v>46</v>
      </c>
    </row>
    <row r="5" spans="1:4">
      <c r="A5" s="86">
        <v>0</v>
      </c>
      <c r="B5" s="72">
        <v>0.05</v>
      </c>
      <c r="C5" s="72">
        <v>2301</v>
      </c>
      <c r="D5" s="72">
        <f t="shared" si="0"/>
        <v>48</v>
      </c>
    </row>
    <row r="6" spans="1:4">
      <c r="A6" s="86">
        <v>1</v>
      </c>
      <c r="B6" s="72">
        <v>0.05</v>
      </c>
      <c r="C6" s="72">
        <v>2153</v>
      </c>
      <c r="D6" s="72">
        <f t="shared" si="0"/>
        <v>46</v>
      </c>
    </row>
    <row r="7" spans="1:4">
      <c r="A7" s="86">
        <v>2</v>
      </c>
      <c r="B7" s="72">
        <v>0.05</v>
      </c>
      <c r="C7" s="72">
        <v>1917</v>
      </c>
      <c r="D7" s="72">
        <f t="shared" si="0"/>
        <v>44</v>
      </c>
    </row>
    <row r="8" spans="1:4">
      <c r="A8" s="86">
        <v>3</v>
      </c>
      <c r="B8" s="72">
        <v>0.05</v>
      </c>
      <c r="C8" s="72">
        <v>1651</v>
      </c>
      <c r="D8" s="72">
        <f t="shared" si="0"/>
        <v>41</v>
      </c>
    </row>
    <row r="9" spans="1:4">
      <c r="A9" s="86">
        <v>4</v>
      </c>
      <c r="B9" s="72">
        <v>0.05</v>
      </c>
      <c r="C9" s="72">
        <v>1397</v>
      </c>
      <c r="D9" s="72">
        <f t="shared" si="0"/>
        <v>37</v>
      </c>
    </row>
    <row r="10" spans="1:4">
      <c r="A10" s="80"/>
      <c r="B10" s="80"/>
      <c r="C10" s="80"/>
      <c r="D10" s="80"/>
    </row>
    <row r="11" spans="1:4">
      <c r="A11" s="80"/>
      <c r="B11" s="80"/>
      <c r="C11" s="80"/>
      <c r="D11" s="80"/>
    </row>
    <row r="12" spans="1:4">
      <c r="A12" s="80"/>
      <c r="B12" s="80"/>
      <c r="C12" s="80"/>
      <c r="D12" s="80"/>
    </row>
    <row r="13" spans="1:4">
      <c r="A13" s="80"/>
      <c r="B13" s="80"/>
      <c r="C13" s="80"/>
      <c r="D13" s="80"/>
    </row>
    <row r="14" spans="1:4">
      <c r="A14" s="80"/>
      <c r="B14" s="80"/>
      <c r="C14" s="80"/>
      <c r="D14" s="80"/>
    </row>
    <row r="15" spans="1:4">
      <c r="A15" s="87"/>
      <c r="B15" s="80"/>
      <c r="C15" s="80"/>
      <c r="D15" s="80"/>
    </row>
    <row r="16" spans="1:4">
      <c r="A16" s="87"/>
      <c r="B16" s="80"/>
      <c r="C16" s="80"/>
      <c r="D16" s="80"/>
    </row>
    <row r="17" spans="1:4">
      <c r="A17" s="87"/>
      <c r="B17" s="80"/>
      <c r="C17" s="80"/>
      <c r="D17" s="80"/>
    </row>
    <row r="18" spans="1:4">
      <c r="A18" s="87"/>
      <c r="B18" s="80"/>
      <c r="C18" s="80"/>
      <c r="D18" s="80"/>
    </row>
    <row r="19" spans="1:4">
      <c r="A19" s="87"/>
      <c r="B19" s="80"/>
      <c r="C19" s="80"/>
      <c r="D19" s="80"/>
    </row>
    <row r="20" spans="1:4">
      <c r="A20" s="87"/>
      <c r="B20" s="80"/>
      <c r="C20" s="80"/>
      <c r="D20" s="80"/>
    </row>
    <row r="21" spans="1:4">
      <c r="A21" s="87"/>
      <c r="B21" s="80"/>
      <c r="C21" s="80"/>
      <c r="D21" s="80"/>
    </row>
    <row r="22" spans="1:4">
      <c r="A22" s="87"/>
      <c r="B22" s="80"/>
      <c r="C22" s="80"/>
      <c r="D22" s="80"/>
    </row>
    <row r="23" spans="1:4">
      <c r="A23" s="87"/>
      <c r="B23" s="80"/>
      <c r="C23" s="80"/>
      <c r="D23" s="80"/>
    </row>
    <row r="24" spans="1:4">
      <c r="A24" s="87"/>
      <c r="B24" s="80"/>
      <c r="C24" s="80"/>
      <c r="D24" s="80"/>
    </row>
    <row r="25" spans="1:4">
      <c r="A25" s="87"/>
      <c r="B25" s="80"/>
      <c r="C25" s="80"/>
      <c r="D25" s="80"/>
    </row>
    <row r="26" spans="1:4">
      <c r="A26" s="87"/>
      <c r="B26" s="80"/>
      <c r="C26" s="80"/>
      <c r="D26" s="80"/>
    </row>
    <row r="27" spans="1:4">
      <c r="A27" s="87"/>
      <c r="B27" s="80"/>
      <c r="C27" s="80"/>
      <c r="D27" s="80"/>
    </row>
    <row r="28" spans="1:4">
      <c r="A28" s="87"/>
      <c r="B28" s="80"/>
      <c r="C28" s="80"/>
      <c r="D28" s="80"/>
    </row>
    <row r="29" spans="1:4">
      <c r="A29" s="57"/>
      <c r="B29" s="80"/>
      <c r="C29" s="57"/>
      <c r="D29" s="80"/>
    </row>
    <row r="30" spans="1:4">
      <c r="A30" s="57"/>
      <c r="B30" s="80"/>
      <c r="C30" s="57"/>
      <c r="D30" s="80"/>
    </row>
    <row r="31" spans="1:4">
      <c r="A31" s="57"/>
      <c r="B31" s="80"/>
      <c r="C31" s="57"/>
      <c r="D31" s="80"/>
    </row>
    <row r="32" spans="1:4">
      <c r="A32" s="57"/>
      <c r="B32" s="80"/>
      <c r="C32" s="57"/>
      <c r="D32" s="80"/>
    </row>
    <row r="33" spans="1:4">
      <c r="A33" s="80"/>
      <c r="B33" s="80"/>
      <c r="C33" s="80"/>
      <c r="D33" s="80"/>
    </row>
    <row r="34" spans="1:4">
      <c r="A34" s="80"/>
      <c r="B34" s="80"/>
      <c r="C34" s="80"/>
      <c r="D34" s="80"/>
    </row>
    <row r="35" spans="1:4">
      <c r="A35" s="80"/>
      <c r="B35" s="80"/>
      <c r="C35" s="80"/>
      <c r="D35" s="80"/>
    </row>
    <row r="36" spans="1:4">
      <c r="A36" s="80"/>
      <c r="B36" s="80"/>
      <c r="C36" s="80"/>
      <c r="D36" s="80"/>
    </row>
    <row r="37" spans="1:4">
      <c r="A37" s="80"/>
      <c r="B37" s="80"/>
      <c r="C37" s="80"/>
      <c r="D37" s="80"/>
    </row>
    <row r="38" spans="1:4">
      <c r="A38" s="80"/>
      <c r="B38" s="80"/>
      <c r="C38" s="80"/>
      <c r="D38" s="80"/>
    </row>
    <row r="39" spans="1:4">
      <c r="A39" s="80"/>
      <c r="B39" s="80"/>
      <c r="C39" s="80"/>
      <c r="D39" s="80"/>
    </row>
    <row r="40" spans="1:4">
      <c r="A40" s="80"/>
      <c r="B40" s="80"/>
      <c r="C40" s="80"/>
      <c r="D40" s="80"/>
    </row>
    <row r="41" spans="1:4">
      <c r="A41" s="80"/>
      <c r="B41" s="80"/>
      <c r="C41" s="80"/>
      <c r="D41" s="80"/>
    </row>
    <row r="42" spans="1:4">
      <c r="A42" s="80"/>
      <c r="B42" s="80"/>
      <c r="C42" s="80"/>
      <c r="D42" s="80"/>
    </row>
    <row r="43" spans="1:4">
      <c r="A43" s="87"/>
      <c r="B43" s="80"/>
      <c r="C43" s="72"/>
      <c r="D43" s="72"/>
    </row>
    <row r="44" spans="1:4">
      <c r="A44" s="87"/>
      <c r="B44" s="80"/>
      <c r="C44" s="72"/>
      <c r="D44" s="72"/>
    </row>
    <row r="45" spans="1:4">
      <c r="A45" s="87"/>
      <c r="B45" s="80"/>
      <c r="C45" s="72"/>
      <c r="D45" s="72"/>
    </row>
    <row r="46" spans="1:4">
      <c r="A46" s="87"/>
      <c r="B46" s="80"/>
      <c r="C46" s="72"/>
      <c r="D46" s="72"/>
    </row>
    <row r="47" spans="1:4">
      <c r="A47" s="87"/>
      <c r="B47" s="80"/>
      <c r="C47" s="72"/>
      <c r="D47" s="72"/>
    </row>
    <row r="48" spans="1:4">
      <c r="A48" s="87"/>
      <c r="B48" s="80"/>
      <c r="C48" s="72"/>
      <c r="D48" s="72"/>
    </row>
    <row r="49" spans="1:4">
      <c r="A49" s="87"/>
      <c r="B49" s="80"/>
      <c r="C49" s="72"/>
      <c r="D49" s="72"/>
    </row>
    <row r="50" spans="1:4">
      <c r="A50" s="87"/>
      <c r="B50" s="80"/>
      <c r="C50" s="72"/>
      <c r="D50" s="72"/>
    </row>
    <row r="51" spans="1:4">
      <c r="A51" s="72"/>
      <c r="B51" s="80"/>
      <c r="C51" s="72"/>
      <c r="D51" s="72"/>
    </row>
    <row r="52" spans="1:4">
      <c r="A52" s="72"/>
      <c r="B52" s="80"/>
      <c r="C52" s="72"/>
      <c r="D52" s="72"/>
    </row>
    <row r="53" spans="1:4">
      <c r="A53" s="72"/>
      <c r="B53" s="80"/>
      <c r="C53" s="72"/>
      <c r="D53" s="72"/>
    </row>
    <row r="54" spans="1:4">
      <c r="A54" s="72"/>
      <c r="B54" s="80"/>
      <c r="C54" s="72"/>
      <c r="D54" s="72"/>
    </row>
    <row r="55" spans="1:4">
      <c r="A55" s="72"/>
      <c r="B55" s="80"/>
      <c r="C55" s="72"/>
      <c r="D55" s="72"/>
    </row>
    <row r="56" spans="1:4">
      <c r="A56" s="72"/>
      <c r="B56" s="80"/>
      <c r="C56" s="72"/>
      <c r="D56" s="72"/>
    </row>
    <row r="57" spans="1:4">
      <c r="A57" s="72"/>
      <c r="B57" s="80"/>
      <c r="C57" s="72"/>
      <c r="D57" s="72"/>
    </row>
    <row r="58" spans="1:4">
      <c r="A58" s="72"/>
      <c r="B58" s="80"/>
      <c r="C58" s="72"/>
      <c r="D58" s="72"/>
    </row>
    <row r="59" spans="1:4">
      <c r="A59" s="72"/>
      <c r="B59" s="80"/>
      <c r="C59" s="72"/>
      <c r="D59" s="72"/>
    </row>
    <row r="60" spans="1:4">
      <c r="A60" s="72"/>
      <c r="B60" s="80"/>
      <c r="C60" s="72"/>
      <c r="D60" s="72"/>
    </row>
    <row r="61" spans="1:4">
      <c r="A61" s="72"/>
      <c r="B61" s="80"/>
      <c r="C61" s="72"/>
      <c r="D61" s="72"/>
    </row>
    <row r="62" spans="1:4">
      <c r="A62" s="72"/>
      <c r="B62" s="80"/>
      <c r="C62" s="72"/>
      <c r="D62" s="72"/>
    </row>
    <row r="63" spans="1:4">
      <c r="A63" s="72"/>
      <c r="B63" s="80"/>
      <c r="C63" s="72"/>
      <c r="D63" s="72"/>
    </row>
    <row r="64" spans="1:4">
      <c r="A64" s="72"/>
      <c r="B64" s="80"/>
      <c r="C64" s="72"/>
      <c r="D64" s="72"/>
    </row>
    <row r="65" spans="1:4">
      <c r="A65" s="72"/>
      <c r="B65" s="80"/>
      <c r="C65" s="72"/>
      <c r="D65" s="72"/>
    </row>
    <row r="66" spans="1:4">
      <c r="A66" s="72"/>
      <c r="B66" s="80"/>
      <c r="C66" s="72"/>
      <c r="D66" s="72"/>
    </row>
    <row r="67" spans="1:4">
      <c r="A67" s="72"/>
      <c r="B67" s="80"/>
      <c r="C67" s="72"/>
      <c r="D67" s="72"/>
    </row>
    <row r="68" spans="1:4">
      <c r="A68" s="72"/>
      <c r="B68" s="80"/>
      <c r="C68" s="72"/>
      <c r="D68" s="84"/>
    </row>
    <row r="69" spans="1:4">
      <c r="A69" s="72"/>
      <c r="B69" s="80"/>
      <c r="C69" s="72"/>
      <c r="D69" s="84"/>
    </row>
    <row r="70" spans="1:4">
      <c r="A70" s="72"/>
      <c r="B70" s="80"/>
      <c r="C70" s="72"/>
      <c r="D70" s="84"/>
    </row>
    <row r="71" spans="1:4">
      <c r="A71" s="72"/>
      <c r="B71" s="80"/>
      <c r="C71" s="72"/>
      <c r="D71" s="84"/>
    </row>
    <row r="72" spans="1:4">
      <c r="A72" s="72"/>
      <c r="B72" s="80"/>
      <c r="C72" s="72"/>
      <c r="D72" s="84"/>
    </row>
    <row r="73" spans="1:4">
      <c r="A73" s="72"/>
      <c r="B73" s="80"/>
      <c r="C73" s="72"/>
      <c r="D73" s="84"/>
    </row>
    <row r="74" spans="1:4">
      <c r="A74" s="72"/>
      <c r="B74" s="80"/>
      <c r="C74" s="72"/>
      <c r="D74" s="84"/>
    </row>
    <row r="75" spans="1:4">
      <c r="A75" s="72"/>
      <c r="B75" s="80"/>
      <c r="C75" s="72"/>
      <c r="D75" s="84"/>
    </row>
    <row r="76" spans="1:4">
      <c r="A76" s="72"/>
      <c r="B76" s="80"/>
      <c r="C76" s="72"/>
      <c r="D76" s="84"/>
    </row>
    <row r="77" spans="1:4">
      <c r="A77" s="72"/>
      <c r="B77" s="80"/>
      <c r="C77" s="72"/>
      <c r="D77" s="84"/>
    </row>
    <row r="78" spans="1:4">
      <c r="A78" s="72"/>
      <c r="B78" s="80"/>
      <c r="C78" s="72"/>
      <c r="D78" s="72"/>
    </row>
    <row r="79" spans="1:4">
      <c r="A79" s="72"/>
      <c r="B79" s="80"/>
      <c r="C79" s="72"/>
      <c r="D79" s="72"/>
    </row>
    <row r="80" spans="1:4">
      <c r="A80" s="72"/>
      <c r="B80" s="80"/>
      <c r="C80" s="72"/>
      <c r="D80" s="72"/>
    </row>
    <row r="81" spans="1:4">
      <c r="A81" s="72"/>
      <c r="B81" s="80"/>
      <c r="C81" s="72"/>
      <c r="D81" s="72"/>
    </row>
    <row r="82" spans="1:4">
      <c r="A82" s="72"/>
      <c r="B82" s="80"/>
      <c r="C82" s="72"/>
      <c r="D82" s="72"/>
    </row>
    <row r="83" spans="1:4">
      <c r="A83" s="72"/>
      <c r="B83" s="80"/>
      <c r="C83" s="72"/>
      <c r="D83" s="72"/>
    </row>
    <row r="84" spans="1:4">
      <c r="A84" s="72"/>
      <c r="B84" s="80"/>
      <c r="C84" s="72"/>
      <c r="D84" s="72"/>
    </row>
    <row r="85" spans="1:4">
      <c r="A85" s="72"/>
      <c r="B85" s="80"/>
      <c r="C85" s="72"/>
      <c r="D85" s="72"/>
    </row>
    <row r="86" spans="1:4">
      <c r="A86" s="72"/>
      <c r="B86" s="80"/>
      <c r="C86" s="72"/>
      <c r="D86" s="72"/>
    </row>
    <row r="87" spans="1:4">
      <c r="A87" s="72"/>
      <c r="B87" s="80"/>
      <c r="C87" s="72"/>
      <c r="D87" s="72"/>
    </row>
    <row r="88" spans="1:4">
      <c r="A88" s="72"/>
      <c r="B88" s="80"/>
      <c r="C88" s="72"/>
      <c r="D88" s="72"/>
    </row>
    <row r="89" spans="1:4">
      <c r="A89" s="72"/>
      <c r="B89" s="80"/>
      <c r="C89" s="72"/>
      <c r="D89" s="72"/>
    </row>
    <row r="90" spans="1:4">
      <c r="A90" s="72"/>
      <c r="B90" s="80"/>
      <c r="C90" s="72"/>
      <c r="D90" s="72"/>
    </row>
    <row r="91" spans="1:4">
      <c r="C91" s="56"/>
      <c r="D91" s="56"/>
    </row>
    <row r="92" spans="1:4">
      <c r="C92" s="56"/>
      <c r="D92" s="56"/>
    </row>
    <row r="93" spans="1:4">
      <c r="C93" s="56"/>
      <c r="D93" s="56"/>
    </row>
    <row r="94" spans="1:4">
      <c r="C94" s="56"/>
      <c r="D94" s="56"/>
    </row>
    <row r="95" spans="1:4">
      <c r="C95" s="56"/>
      <c r="D95" s="56"/>
    </row>
    <row r="96" spans="1:4">
      <c r="C96" s="56"/>
      <c r="D96" s="56"/>
    </row>
    <row r="97" spans="3:4">
      <c r="C97" s="56"/>
      <c r="D97" s="56"/>
    </row>
    <row r="98" spans="3:4">
      <c r="C98" s="56"/>
      <c r="D98" s="56"/>
    </row>
    <row r="99" spans="3:4">
      <c r="C99" s="56"/>
      <c r="D99" s="56"/>
    </row>
    <row r="100" spans="3:4">
      <c r="C100" s="56"/>
      <c r="D100" s="56"/>
    </row>
    <row r="101" spans="3:4">
      <c r="C101" s="56"/>
      <c r="D101" s="56"/>
    </row>
    <row r="102" spans="3:4">
      <c r="C102" s="56"/>
      <c r="D102" s="56"/>
    </row>
    <row r="103" spans="3:4">
      <c r="C103" s="56"/>
      <c r="D103" s="56"/>
    </row>
    <row r="104" spans="3:4">
      <c r="C104" s="56"/>
      <c r="D104" s="56"/>
    </row>
    <row r="105" spans="3:4">
      <c r="C105" s="56"/>
      <c r="D105" s="56"/>
    </row>
    <row r="106" spans="3:4">
      <c r="C106" s="56"/>
      <c r="D106" s="56"/>
    </row>
    <row r="107" spans="3:4">
      <c r="C107" s="56"/>
      <c r="D107" s="56"/>
    </row>
    <row r="108" spans="3:4">
      <c r="C108" s="56"/>
      <c r="D108" s="56"/>
    </row>
    <row r="109" spans="3:4">
      <c r="C109" s="56"/>
      <c r="D109" s="56"/>
    </row>
    <row r="110" spans="3:4">
      <c r="C110" s="56"/>
      <c r="D110" s="56"/>
    </row>
    <row r="111" spans="3:4">
      <c r="C111" s="56"/>
      <c r="D111" s="56"/>
    </row>
    <row r="112" spans="3:4">
      <c r="C112" s="56"/>
      <c r="D112" s="56"/>
    </row>
    <row r="113" spans="3:4">
      <c r="C113" s="56"/>
      <c r="D113" s="56"/>
    </row>
    <row r="114" spans="3:4">
      <c r="C114" s="56"/>
      <c r="D114" s="56"/>
    </row>
    <row r="115" spans="3:4">
      <c r="C115" s="56"/>
      <c r="D115" s="56"/>
    </row>
    <row r="116" spans="3:4">
      <c r="C116" s="56"/>
      <c r="D116" s="56"/>
    </row>
    <row r="117" spans="3:4">
      <c r="C117" s="56"/>
      <c r="D117" s="56"/>
    </row>
    <row r="118" spans="3:4">
      <c r="C118" s="56"/>
      <c r="D118" s="56"/>
    </row>
    <row r="119" spans="3:4">
      <c r="C119" s="56"/>
      <c r="D119" s="56"/>
    </row>
    <row r="120" spans="3:4">
      <c r="C120" s="56"/>
      <c r="D120" s="56"/>
    </row>
    <row r="121" spans="3:4">
      <c r="C121" s="56"/>
      <c r="D121" s="56"/>
    </row>
    <row r="122" spans="3:4">
      <c r="C122" s="56"/>
      <c r="D122" s="56"/>
    </row>
    <row r="123" spans="3:4">
      <c r="C123" s="56"/>
      <c r="D123" s="56"/>
    </row>
    <row r="124" spans="3:4">
      <c r="C124" s="56"/>
      <c r="D124" s="56"/>
    </row>
    <row r="125" spans="3:4">
      <c r="C125" s="56"/>
      <c r="D125" s="56"/>
    </row>
    <row r="126" spans="3:4">
      <c r="C126" s="56"/>
      <c r="D126" s="56"/>
    </row>
    <row r="127" spans="3:4">
      <c r="C127" s="56"/>
      <c r="D127" s="56"/>
    </row>
    <row r="128" spans="3:4">
      <c r="C128" s="56"/>
      <c r="D128" s="56"/>
    </row>
    <row r="129" spans="3:4">
      <c r="C129" s="56"/>
      <c r="D129" s="56"/>
    </row>
    <row r="130" spans="3:4">
      <c r="C130" s="56"/>
      <c r="D130" s="56"/>
    </row>
    <row r="131" spans="3:4">
      <c r="C131" s="56"/>
      <c r="D131" s="56"/>
    </row>
    <row r="132" spans="3:4">
      <c r="C132" s="56"/>
      <c r="D132" s="56"/>
    </row>
    <row r="133" spans="3:4">
      <c r="C133" s="56"/>
      <c r="D133" s="56"/>
    </row>
    <row r="134" spans="3:4">
      <c r="C134" s="56"/>
      <c r="D134" s="56"/>
    </row>
    <row r="135" spans="3:4">
      <c r="C135" s="56"/>
      <c r="D135" s="56"/>
    </row>
    <row r="136" spans="3:4">
      <c r="C136" s="56"/>
      <c r="D136" s="56"/>
    </row>
    <row r="137" spans="3:4">
      <c r="C137" s="56"/>
      <c r="D137" s="56"/>
    </row>
    <row r="138" spans="3:4">
      <c r="C138" s="56"/>
      <c r="D138" s="56"/>
    </row>
    <row r="139" spans="3:4">
      <c r="C139" s="56"/>
      <c r="D139" s="56"/>
    </row>
    <row r="140" spans="3:4">
      <c r="C140" s="56"/>
      <c r="D140" s="56"/>
    </row>
    <row r="141" spans="3:4">
      <c r="C141" s="56"/>
      <c r="D141" s="56"/>
    </row>
    <row r="142" spans="3:4">
      <c r="C142" s="56"/>
      <c r="D142" s="56"/>
    </row>
    <row r="143" spans="3:4">
      <c r="C143" s="56"/>
      <c r="D143" s="56"/>
    </row>
    <row r="144" spans="3:4">
      <c r="C144" s="56"/>
      <c r="D144" s="56"/>
    </row>
    <row r="145" spans="3:4">
      <c r="C145" s="56"/>
      <c r="D145" s="56"/>
    </row>
    <row r="146" spans="3:4">
      <c r="C146" s="56"/>
      <c r="D146" s="56"/>
    </row>
    <row r="147" spans="3:4">
      <c r="C147" s="56"/>
      <c r="D147" s="56"/>
    </row>
    <row r="148" spans="3:4">
      <c r="C148" s="56"/>
      <c r="D148" s="56"/>
    </row>
    <row r="149" spans="3:4">
      <c r="C149" s="56"/>
      <c r="D149" s="56"/>
    </row>
    <row r="150" spans="3:4">
      <c r="C150" s="56"/>
      <c r="D150" s="56"/>
    </row>
    <row r="151" spans="3:4">
      <c r="C151" s="56"/>
      <c r="D151" s="56"/>
    </row>
    <row r="152" spans="3:4">
      <c r="C152" s="56"/>
      <c r="D152" s="56"/>
    </row>
    <row r="153" spans="3:4">
      <c r="C153" s="56"/>
      <c r="D153" s="56"/>
    </row>
    <row r="154" spans="3:4">
      <c r="C154" s="56"/>
      <c r="D154" s="56"/>
    </row>
    <row r="155" spans="3:4">
      <c r="C155" s="56"/>
      <c r="D155" s="56"/>
    </row>
    <row r="156" spans="3:4">
      <c r="C156" s="56"/>
      <c r="D156" s="56"/>
    </row>
    <row r="157" spans="3:4">
      <c r="C157" s="56"/>
      <c r="D157" s="56"/>
    </row>
    <row r="158" spans="3:4">
      <c r="C158" s="56"/>
      <c r="D158" s="56"/>
    </row>
    <row r="159" spans="3:4">
      <c r="C159" s="56"/>
      <c r="D159" s="56"/>
    </row>
    <row r="160" spans="3:4">
      <c r="C160" s="56"/>
      <c r="D160" s="56"/>
    </row>
    <row r="161" spans="3:4">
      <c r="C161" s="56"/>
      <c r="D161" s="56"/>
    </row>
    <row r="162" spans="3:4">
      <c r="C162" s="56"/>
      <c r="D162" s="56"/>
    </row>
    <row r="163" spans="3:4">
      <c r="C163" s="56"/>
      <c r="D163" s="56"/>
    </row>
    <row r="164" spans="3:4">
      <c r="C164" s="56"/>
      <c r="D164" s="56"/>
    </row>
    <row r="165" spans="3:4">
      <c r="C165" s="56"/>
      <c r="D165" s="56"/>
    </row>
    <row r="166" spans="3:4">
      <c r="C166" s="56"/>
      <c r="D166" s="56"/>
    </row>
    <row r="167" spans="3:4">
      <c r="C167" s="56"/>
      <c r="D167" s="56"/>
    </row>
    <row r="168" spans="3:4">
      <c r="C168" s="56"/>
      <c r="D168" s="56"/>
    </row>
    <row r="169" spans="3:4">
      <c r="C169" s="56"/>
      <c r="D169" s="56"/>
    </row>
    <row r="170" spans="3:4">
      <c r="C170" s="56"/>
      <c r="D170" s="56"/>
    </row>
    <row r="171" spans="3:4">
      <c r="C171" s="56"/>
      <c r="D171" s="56"/>
    </row>
    <row r="172" spans="3:4">
      <c r="C172" s="56"/>
      <c r="D172" s="56"/>
    </row>
    <row r="173" spans="3:4">
      <c r="C173" s="56"/>
      <c r="D173" s="56"/>
    </row>
    <row r="174" spans="3:4">
      <c r="C174" s="56"/>
      <c r="D174" s="56"/>
    </row>
    <row r="175" spans="3:4">
      <c r="C175" s="56"/>
      <c r="D175" s="56"/>
    </row>
    <row r="176" spans="3:4">
      <c r="C176" s="56"/>
      <c r="D176" s="56"/>
    </row>
    <row r="177" spans="3:4">
      <c r="C177" s="56"/>
      <c r="D177" s="56"/>
    </row>
    <row r="178" spans="3:4">
      <c r="C178" s="56"/>
      <c r="D178" s="56"/>
    </row>
    <row r="179" spans="3:4">
      <c r="C179" s="56"/>
      <c r="D179" s="56"/>
    </row>
    <row r="180" spans="3:4">
      <c r="C180" s="56"/>
      <c r="D180" s="56"/>
    </row>
    <row r="181" spans="3:4">
      <c r="C181" s="56"/>
      <c r="D181" s="56"/>
    </row>
    <row r="182" spans="3:4">
      <c r="C182" s="56"/>
      <c r="D182" s="56"/>
    </row>
    <row r="183" spans="3:4">
      <c r="C183" s="56"/>
      <c r="D183" s="56"/>
    </row>
    <row r="184" spans="3:4">
      <c r="C184" s="56"/>
      <c r="D184" s="56"/>
    </row>
    <row r="185" spans="3:4">
      <c r="C185" s="56"/>
      <c r="D185" s="56"/>
    </row>
    <row r="186" spans="3:4">
      <c r="C186" s="56"/>
      <c r="D186" s="56"/>
    </row>
    <row r="187" spans="3:4">
      <c r="C187" s="56"/>
      <c r="D187" s="56"/>
    </row>
    <row r="188" spans="3:4">
      <c r="C188" s="56"/>
      <c r="D188" s="56"/>
    </row>
    <row r="189" spans="3:4">
      <c r="C189" s="56"/>
      <c r="D189" s="56"/>
    </row>
    <row r="190" spans="3:4">
      <c r="C190" s="56"/>
      <c r="D190" s="56"/>
    </row>
    <row r="191" spans="3:4">
      <c r="C191" s="56"/>
      <c r="D191" s="56"/>
    </row>
    <row r="192" spans="3:4">
      <c r="C192" s="56"/>
      <c r="D192" s="56"/>
    </row>
    <row r="193" spans="3:4">
      <c r="C193" s="56"/>
      <c r="D193" s="56"/>
    </row>
    <row r="194" spans="3:4">
      <c r="C194" s="56"/>
      <c r="D194" s="56"/>
    </row>
    <row r="195" spans="3:4">
      <c r="C195" s="56"/>
      <c r="D195" s="56"/>
    </row>
    <row r="196" spans="3:4">
      <c r="C196" s="56"/>
      <c r="D196" s="56"/>
    </row>
    <row r="197" spans="3:4">
      <c r="C197" s="56"/>
      <c r="D197" s="56"/>
    </row>
    <row r="198" spans="3:4">
      <c r="C198" s="56"/>
      <c r="D198" s="56"/>
    </row>
    <row r="199" spans="3:4">
      <c r="C199" s="56"/>
      <c r="D199" s="56"/>
    </row>
    <row r="200" spans="3:4">
      <c r="C200" s="56"/>
      <c r="D200" s="56"/>
    </row>
    <row r="201" spans="3:4">
      <c r="C201" s="56"/>
      <c r="D201" s="56"/>
    </row>
    <row r="202" spans="3:4">
      <c r="C202" s="56"/>
      <c r="D202" s="56"/>
    </row>
    <row r="203" spans="3:4">
      <c r="C203" s="56"/>
      <c r="D203" s="56"/>
    </row>
    <row r="204" spans="3:4">
      <c r="C204" s="56"/>
      <c r="D204" s="56"/>
    </row>
    <row r="205" spans="3:4">
      <c r="C205" s="56"/>
      <c r="D205" s="56"/>
    </row>
    <row r="206" spans="3:4">
      <c r="C206" s="56"/>
      <c r="D206" s="56"/>
    </row>
    <row r="207" spans="3:4">
      <c r="C207" s="56"/>
      <c r="D207" s="56"/>
    </row>
    <row r="208" spans="3:4">
      <c r="C208" s="56"/>
      <c r="D208" s="56"/>
    </row>
    <row r="209" spans="3:4">
      <c r="C209" s="56"/>
      <c r="D209" s="56"/>
    </row>
    <row r="210" spans="3:4">
      <c r="C210" s="56"/>
      <c r="D210" s="56"/>
    </row>
    <row r="211" spans="3:4">
      <c r="C211" s="56"/>
      <c r="D211" s="56"/>
    </row>
    <row r="212" spans="3:4">
      <c r="C212" s="56"/>
      <c r="D212" s="56"/>
    </row>
    <row r="213" spans="3:4">
      <c r="C213" s="56"/>
      <c r="D213" s="56"/>
    </row>
    <row r="214" spans="3:4">
      <c r="C214" s="56"/>
      <c r="D214" s="56"/>
    </row>
    <row r="215" spans="3:4">
      <c r="C215" s="56"/>
      <c r="D215" s="56"/>
    </row>
    <row r="216" spans="3:4">
      <c r="C216" s="56"/>
      <c r="D216" s="56"/>
    </row>
    <row r="217" spans="3:4">
      <c r="C217" s="56"/>
      <c r="D217" s="56"/>
    </row>
    <row r="218" spans="3:4">
      <c r="C218" s="56"/>
      <c r="D218" s="56"/>
    </row>
    <row r="219" spans="3:4">
      <c r="C219" s="56"/>
      <c r="D219" s="56"/>
    </row>
    <row r="220" spans="3:4">
      <c r="C220" s="56"/>
      <c r="D220" s="56"/>
    </row>
    <row r="221" spans="3:4">
      <c r="C221" s="56"/>
      <c r="D221" s="56"/>
    </row>
    <row r="222" spans="3:4">
      <c r="C222" s="56"/>
      <c r="D222" s="56"/>
    </row>
    <row r="223" spans="3:4">
      <c r="C223" s="56"/>
      <c r="D223" s="56"/>
    </row>
    <row r="224" spans="3:4">
      <c r="C224" s="56"/>
      <c r="D224" s="56"/>
    </row>
    <row r="225" spans="3:4">
      <c r="C225" s="56"/>
      <c r="D225" s="56"/>
    </row>
    <row r="226" spans="3:4">
      <c r="C226" s="56"/>
      <c r="D226" s="56"/>
    </row>
    <row r="227" spans="3:4">
      <c r="C227" s="56"/>
      <c r="D227" s="56"/>
    </row>
    <row r="228" spans="3:4">
      <c r="C228" s="56"/>
      <c r="D228" s="56"/>
    </row>
    <row r="229" spans="3:4">
      <c r="C229" s="56"/>
      <c r="D229" s="56"/>
    </row>
    <row r="230" spans="3:4">
      <c r="C230" s="56"/>
      <c r="D230" s="56"/>
    </row>
    <row r="231" spans="3:4">
      <c r="C231" s="56"/>
      <c r="D231" s="56"/>
    </row>
    <row r="232" spans="3:4">
      <c r="C232" s="56"/>
      <c r="D232" s="56"/>
    </row>
    <row r="233" spans="3:4">
      <c r="C233" s="56"/>
      <c r="D233" s="56"/>
    </row>
    <row r="234" spans="3:4">
      <c r="C234" s="56"/>
      <c r="D234" s="56"/>
    </row>
    <row r="235" spans="3:4">
      <c r="C235" s="56"/>
      <c r="D235" s="56"/>
    </row>
    <row r="236" spans="3:4">
      <c r="C236" s="56"/>
      <c r="D236" s="56"/>
    </row>
    <row r="237" spans="3:4">
      <c r="C237" s="56"/>
      <c r="D237" s="56"/>
    </row>
    <row r="238" spans="3:4">
      <c r="C238" s="56"/>
      <c r="D238" s="56"/>
    </row>
    <row r="239" spans="3:4">
      <c r="C239" s="56"/>
      <c r="D239" s="56"/>
    </row>
    <row r="240" spans="3:4">
      <c r="C240" s="56"/>
      <c r="D240" s="56"/>
    </row>
    <row r="241" spans="3:4">
      <c r="C241" s="56"/>
      <c r="D241" s="56"/>
    </row>
    <row r="242" spans="3:4">
      <c r="C242" s="56"/>
      <c r="D242" s="56"/>
    </row>
    <row r="243" spans="3:4">
      <c r="C243" s="56"/>
      <c r="D243" s="56"/>
    </row>
    <row r="244" spans="3:4">
      <c r="C244" s="56"/>
      <c r="D244" s="56"/>
    </row>
    <row r="245" spans="3:4">
      <c r="C245" s="56"/>
      <c r="D245" s="56"/>
    </row>
    <row r="246" spans="3:4">
      <c r="C246" s="56"/>
      <c r="D246" s="56"/>
    </row>
    <row r="247" spans="3:4">
      <c r="C247" s="56"/>
      <c r="D247" s="56"/>
    </row>
    <row r="248" spans="3:4">
      <c r="C248" s="56"/>
      <c r="D248" s="56"/>
    </row>
    <row r="249" spans="3:4">
      <c r="C249" s="56"/>
      <c r="D249" s="56"/>
    </row>
    <row r="250" spans="3:4">
      <c r="C250" s="56"/>
      <c r="D250" s="56"/>
    </row>
    <row r="251" spans="3:4">
      <c r="C251" s="56"/>
      <c r="D251" s="56"/>
    </row>
    <row r="252" spans="3:4">
      <c r="C252" s="56"/>
      <c r="D252" s="56"/>
    </row>
    <row r="253" spans="3:4">
      <c r="C253" s="56"/>
      <c r="D253" s="56"/>
    </row>
    <row r="254" spans="3:4">
      <c r="C254" s="56"/>
      <c r="D254" s="56"/>
    </row>
    <row r="255" spans="3:4">
      <c r="C255" s="56"/>
      <c r="D255" s="56"/>
    </row>
    <row r="256" spans="3:4">
      <c r="C256" s="56"/>
      <c r="D256" s="56"/>
    </row>
    <row r="257" spans="3:4">
      <c r="C257" s="56"/>
      <c r="D257" s="56"/>
    </row>
    <row r="258" spans="3:4">
      <c r="C258" s="56"/>
      <c r="D258" s="56"/>
    </row>
    <row r="259" spans="3:4">
      <c r="C259" s="56"/>
      <c r="D259" s="56"/>
    </row>
    <row r="260" spans="3:4">
      <c r="C260" s="56"/>
      <c r="D260" s="56"/>
    </row>
    <row r="261" spans="3:4">
      <c r="C261" s="56"/>
      <c r="D261" s="56"/>
    </row>
    <row r="262" spans="3:4">
      <c r="C262" s="56"/>
      <c r="D262" s="56"/>
    </row>
    <row r="263" spans="3:4">
      <c r="C263" s="56"/>
      <c r="D263" s="56"/>
    </row>
    <row r="264" spans="3:4">
      <c r="C264" s="56"/>
      <c r="D264" s="56"/>
    </row>
    <row r="265" spans="3:4">
      <c r="C265" s="56"/>
      <c r="D265" s="56"/>
    </row>
    <row r="266" spans="3:4">
      <c r="C266" s="56"/>
      <c r="D266" s="56"/>
    </row>
    <row r="267" spans="3:4">
      <c r="C267" s="56"/>
      <c r="D267" s="56"/>
    </row>
    <row r="268" spans="3:4">
      <c r="C268" s="56"/>
      <c r="D268" s="56"/>
    </row>
    <row r="269" spans="3:4">
      <c r="C269" s="56"/>
      <c r="D269" s="56"/>
    </row>
    <row r="270" spans="3:4">
      <c r="C270" s="56"/>
      <c r="D270" s="56"/>
    </row>
    <row r="271" spans="3:4">
      <c r="C271" s="56"/>
      <c r="D271" s="56"/>
    </row>
    <row r="272" spans="3:4">
      <c r="C272" s="56"/>
      <c r="D272" s="56"/>
    </row>
    <row r="273" spans="3:4">
      <c r="C273" s="56"/>
      <c r="D273" s="56"/>
    </row>
    <row r="274" spans="3:4">
      <c r="C274" s="56"/>
      <c r="D274" s="56"/>
    </row>
    <row r="275" spans="3:4">
      <c r="C275" s="56"/>
      <c r="D275" s="56"/>
    </row>
    <row r="276" spans="3:4">
      <c r="C276" s="56"/>
      <c r="D276" s="56"/>
    </row>
    <row r="277" spans="3:4">
      <c r="C277" s="56"/>
      <c r="D277" s="56"/>
    </row>
    <row r="278" spans="3:4">
      <c r="C278" s="56"/>
      <c r="D278" s="56"/>
    </row>
    <row r="279" spans="3:4">
      <c r="C279" s="56"/>
      <c r="D279" s="56"/>
    </row>
    <row r="280" spans="3:4">
      <c r="C280" s="56"/>
      <c r="D280" s="56"/>
    </row>
    <row r="281" spans="3:4">
      <c r="C281" s="56"/>
      <c r="D281" s="56"/>
    </row>
    <row r="282" spans="3:4">
      <c r="C282" s="56"/>
      <c r="D282" s="56"/>
    </row>
    <row r="283" spans="3:4">
      <c r="C283" s="56"/>
      <c r="D283" s="56"/>
    </row>
    <row r="284" spans="3:4">
      <c r="C284" s="56"/>
      <c r="D284" s="56"/>
    </row>
    <row r="285" spans="3:4">
      <c r="C285" s="56"/>
      <c r="D285" s="56"/>
    </row>
    <row r="286" spans="3:4">
      <c r="C286" s="56"/>
      <c r="D286" s="56"/>
    </row>
    <row r="287" spans="3:4">
      <c r="C287" s="56"/>
      <c r="D287" s="56"/>
    </row>
    <row r="288" spans="3:4">
      <c r="C288" s="56"/>
      <c r="D288" s="56"/>
    </row>
    <row r="289" spans="3:4">
      <c r="C289" s="56"/>
      <c r="D289" s="56"/>
    </row>
    <row r="290" spans="3:4">
      <c r="C290" s="56"/>
      <c r="D290" s="56"/>
    </row>
    <row r="291" spans="3:4">
      <c r="C291" s="56"/>
      <c r="D291" s="56"/>
    </row>
    <row r="292" spans="3:4">
      <c r="C292" s="56"/>
      <c r="D292" s="56"/>
    </row>
    <row r="293" spans="3:4">
      <c r="C293" s="56"/>
      <c r="D293" s="56"/>
    </row>
    <row r="294" spans="3:4">
      <c r="C294" s="56"/>
      <c r="D294" s="56"/>
    </row>
    <row r="295" spans="3:4">
      <c r="C295" s="56"/>
      <c r="D295" s="56"/>
    </row>
    <row r="296" spans="3:4">
      <c r="C296" s="56"/>
      <c r="D296" s="56"/>
    </row>
    <row r="297" spans="3:4">
      <c r="C297" s="56"/>
      <c r="D297" s="56"/>
    </row>
    <row r="298" spans="3:4">
      <c r="C298" s="56"/>
      <c r="D298" s="56"/>
    </row>
    <row r="299" spans="3:4">
      <c r="C299" s="56"/>
      <c r="D299" s="56"/>
    </row>
    <row r="300" spans="3:4">
      <c r="C300" s="56"/>
      <c r="D300" s="56"/>
    </row>
    <row r="301" spans="3:4">
      <c r="C301" s="56"/>
      <c r="D301" s="56"/>
    </row>
    <row r="302" spans="3:4">
      <c r="C302" s="56"/>
      <c r="D302" s="56"/>
    </row>
    <row r="303" spans="3:4">
      <c r="C303" s="56"/>
      <c r="D303" s="56"/>
    </row>
    <row r="304" spans="3:4">
      <c r="C304" s="56"/>
      <c r="D304" s="56"/>
    </row>
    <row r="305" spans="3:4">
      <c r="C305" s="56"/>
      <c r="D305" s="56"/>
    </row>
    <row r="306" spans="3:4">
      <c r="C306" s="56"/>
      <c r="D306" s="56"/>
    </row>
    <row r="307" spans="3:4">
      <c r="C307" s="56"/>
      <c r="D307" s="56"/>
    </row>
    <row r="308" spans="3:4">
      <c r="C308" s="56"/>
      <c r="D308" s="56"/>
    </row>
    <row r="309" spans="3:4">
      <c r="C309" s="56"/>
      <c r="D309" s="56"/>
    </row>
    <row r="310" spans="3:4">
      <c r="C310" s="56"/>
      <c r="D310" s="56"/>
    </row>
    <row r="311" spans="3:4">
      <c r="C311" s="56"/>
      <c r="D311" s="56"/>
    </row>
    <row r="312" spans="3:4">
      <c r="C312" s="56"/>
      <c r="D312" s="56"/>
    </row>
    <row r="313" spans="3:4">
      <c r="C313" s="56"/>
      <c r="D313" s="56"/>
    </row>
    <row r="314" spans="3:4">
      <c r="C314" s="56"/>
      <c r="D314" s="56"/>
    </row>
    <row r="315" spans="3:4">
      <c r="C315" s="56"/>
      <c r="D315" s="56"/>
    </row>
    <row r="316" spans="3:4">
      <c r="C316" s="56"/>
      <c r="D316" s="56"/>
    </row>
    <row r="317" spans="3:4">
      <c r="C317" s="56"/>
      <c r="D317" s="56"/>
    </row>
    <row r="318" spans="3:4">
      <c r="C318" s="56"/>
      <c r="D318" s="56"/>
    </row>
    <row r="319" spans="3:4">
      <c r="C319" s="56"/>
      <c r="D319" s="56"/>
    </row>
    <row r="320" spans="3:4">
      <c r="C320" s="56"/>
      <c r="D320" s="56"/>
    </row>
    <row r="321" spans="3:4">
      <c r="C321" s="56"/>
      <c r="D321" s="56"/>
    </row>
    <row r="322" spans="3:4">
      <c r="C322" s="56"/>
      <c r="D322" s="56"/>
    </row>
    <row r="323" spans="3:4">
      <c r="C323" s="56"/>
      <c r="D323" s="56"/>
    </row>
    <row r="324" spans="3:4">
      <c r="C324" s="56"/>
      <c r="D324" s="56"/>
    </row>
    <row r="325" spans="3:4">
      <c r="C325" s="56"/>
      <c r="D325" s="56"/>
    </row>
    <row r="326" spans="3:4">
      <c r="C326" s="56"/>
      <c r="D326" s="56"/>
    </row>
    <row r="327" spans="3:4">
      <c r="C327" s="56"/>
      <c r="D327" s="56"/>
    </row>
    <row r="328" spans="3:4">
      <c r="C328" s="56"/>
      <c r="D328" s="56"/>
    </row>
    <row r="329" spans="3:4">
      <c r="C329" s="56"/>
      <c r="D329" s="56"/>
    </row>
    <row r="330" spans="3:4">
      <c r="C330" s="56"/>
      <c r="D330" s="56"/>
    </row>
    <row r="331" spans="3:4">
      <c r="C331" s="56"/>
      <c r="D331" s="56"/>
    </row>
    <row r="332" spans="3:4">
      <c r="C332" s="56"/>
      <c r="D332" s="56"/>
    </row>
    <row r="333" spans="3:4">
      <c r="C333" s="56"/>
      <c r="D333" s="56"/>
    </row>
    <row r="334" spans="3:4">
      <c r="C334" s="56"/>
      <c r="D334" s="56"/>
    </row>
    <row r="335" spans="3:4">
      <c r="C335" s="56"/>
      <c r="D335" s="56"/>
    </row>
    <row r="336" spans="3:4">
      <c r="C336" s="56"/>
      <c r="D336" s="56"/>
    </row>
    <row r="337" spans="3:4">
      <c r="C337" s="56"/>
      <c r="D337" s="56"/>
    </row>
    <row r="338" spans="3:4">
      <c r="C338" s="56"/>
      <c r="D338" s="56"/>
    </row>
    <row r="339" spans="3:4">
      <c r="C339" s="56"/>
      <c r="D339" s="56"/>
    </row>
    <row r="340" spans="3:4">
      <c r="C340" s="56"/>
      <c r="D340" s="56"/>
    </row>
    <row r="341" spans="3:4">
      <c r="C341" s="56"/>
      <c r="D341" s="56"/>
    </row>
    <row r="342" spans="3:4">
      <c r="C342" s="56"/>
      <c r="D342" s="56"/>
    </row>
    <row r="343" spans="3:4">
      <c r="C343" s="56"/>
      <c r="D343" s="56"/>
    </row>
    <row r="344" spans="3:4">
      <c r="C344" s="56"/>
      <c r="D344" s="56"/>
    </row>
    <row r="345" spans="3:4">
      <c r="C345" s="56"/>
      <c r="D345" s="56"/>
    </row>
    <row r="346" spans="3:4">
      <c r="C346" s="56"/>
      <c r="D346" s="56"/>
    </row>
    <row r="347" spans="3:4">
      <c r="C347" s="56"/>
      <c r="D347" s="56"/>
    </row>
    <row r="348" spans="3:4">
      <c r="C348" s="56"/>
      <c r="D348" s="56"/>
    </row>
    <row r="349" spans="3:4">
      <c r="C349" s="56"/>
      <c r="D349" s="56"/>
    </row>
    <row r="350" spans="3:4">
      <c r="C350" s="56"/>
      <c r="D350" s="56"/>
    </row>
    <row r="351" spans="3:4">
      <c r="C351" s="56"/>
      <c r="D351" s="56"/>
    </row>
    <row r="352" spans="3:4">
      <c r="C352" s="56"/>
      <c r="D352" s="56"/>
    </row>
    <row r="353" spans="3:4">
      <c r="C353" s="56"/>
      <c r="D353" s="56"/>
    </row>
    <row r="354" spans="3:4">
      <c r="C354" s="56"/>
      <c r="D354" s="56"/>
    </row>
    <row r="355" spans="3:4">
      <c r="C355" s="56"/>
      <c r="D355" s="56"/>
    </row>
    <row r="356" spans="3:4">
      <c r="C356" s="56"/>
      <c r="D356" s="56"/>
    </row>
    <row r="357" spans="3:4">
      <c r="C357" s="56"/>
      <c r="D357" s="56"/>
    </row>
    <row r="358" spans="3:4">
      <c r="C358" s="56"/>
      <c r="D358" s="56"/>
    </row>
    <row r="359" spans="3:4">
      <c r="C359" s="56"/>
      <c r="D359" s="56"/>
    </row>
    <row r="360" spans="3:4">
      <c r="C360" s="56"/>
      <c r="D360" s="56"/>
    </row>
    <row r="361" spans="3:4">
      <c r="C361" s="56"/>
      <c r="D361" s="56"/>
    </row>
    <row r="362" spans="3:4">
      <c r="C362" s="56"/>
      <c r="D362" s="56"/>
    </row>
    <row r="363" spans="3:4">
      <c r="C363" s="56"/>
      <c r="D363" s="56"/>
    </row>
    <row r="364" spans="3:4">
      <c r="C364" s="56"/>
      <c r="D364" s="56"/>
    </row>
    <row r="365" spans="3:4">
      <c r="C365" s="56"/>
      <c r="D365" s="56"/>
    </row>
    <row r="366" spans="3:4">
      <c r="C366" s="56"/>
      <c r="D366" s="56"/>
    </row>
    <row r="367" spans="3:4">
      <c r="C367" s="56"/>
      <c r="D367" s="56"/>
    </row>
    <row r="368" spans="3:4">
      <c r="C368" s="56"/>
      <c r="D368" s="56"/>
    </row>
    <row r="369" spans="3:4">
      <c r="C369" s="56"/>
      <c r="D369" s="56"/>
    </row>
    <row r="370" spans="3:4">
      <c r="C370" s="56"/>
      <c r="D370" s="56"/>
    </row>
    <row r="371" spans="3:4">
      <c r="C371" s="56"/>
      <c r="D371" s="56"/>
    </row>
    <row r="372" spans="3:4">
      <c r="C372" s="56"/>
      <c r="D372" s="56"/>
    </row>
    <row r="373" spans="3:4">
      <c r="C373" s="56"/>
      <c r="D373" s="56"/>
    </row>
    <row r="374" spans="3:4">
      <c r="C374" s="56"/>
      <c r="D374" s="56"/>
    </row>
    <row r="375" spans="3:4">
      <c r="C375" s="56"/>
      <c r="D375" s="56"/>
    </row>
    <row r="376" spans="3:4">
      <c r="C376" s="56"/>
      <c r="D376" s="56"/>
    </row>
    <row r="377" spans="3:4">
      <c r="C377" s="56"/>
      <c r="D377" s="56"/>
    </row>
    <row r="378" spans="3:4">
      <c r="C378" s="56"/>
      <c r="D378" s="56"/>
    </row>
    <row r="379" spans="3:4">
      <c r="C379" s="56"/>
      <c r="D379" s="56"/>
    </row>
    <row r="380" spans="3:4">
      <c r="C380" s="56"/>
      <c r="D380" s="56"/>
    </row>
    <row r="381" spans="3:4">
      <c r="C381" s="56"/>
      <c r="D381" s="56"/>
    </row>
    <row r="382" spans="3:4">
      <c r="C382" s="56"/>
      <c r="D382" s="56"/>
    </row>
    <row r="383" spans="3:4">
      <c r="C383" s="56"/>
      <c r="D383" s="56"/>
    </row>
    <row r="384" spans="3:4">
      <c r="C384" s="56"/>
      <c r="D384" s="56"/>
    </row>
    <row r="385" spans="3:4">
      <c r="C385" s="56"/>
      <c r="D385" s="56"/>
    </row>
    <row r="386" spans="3:4">
      <c r="C386" s="56"/>
      <c r="D386" s="56"/>
    </row>
    <row r="387" spans="3:4">
      <c r="C387" s="56"/>
      <c r="D387" s="56"/>
    </row>
    <row r="388" spans="3:4">
      <c r="C388" s="56"/>
      <c r="D388" s="56"/>
    </row>
    <row r="389" spans="3:4">
      <c r="C389" s="56"/>
      <c r="D389" s="56"/>
    </row>
    <row r="390" spans="3:4">
      <c r="C390" s="56"/>
      <c r="D390" s="56"/>
    </row>
    <row r="391" spans="3:4">
      <c r="C391" s="56"/>
      <c r="D391" s="56"/>
    </row>
    <row r="392" spans="3:4">
      <c r="C392" s="56"/>
      <c r="D392" s="56"/>
    </row>
    <row r="393" spans="3:4">
      <c r="C393" s="56"/>
      <c r="D393" s="56"/>
    </row>
    <row r="394" spans="3:4">
      <c r="C394" s="56"/>
      <c r="D394" s="56"/>
    </row>
    <row r="395" spans="3:4">
      <c r="C395" s="56"/>
      <c r="D395" s="56"/>
    </row>
    <row r="396" spans="3:4">
      <c r="C396" s="56"/>
      <c r="D396" s="56"/>
    </row>
    <row r="397" spans="3:4">
      <c r="C397" s="56"/>
      <c r="D397" s="56"/>
    </row>
    <row r="398" spans="3:4">
      <c r="C398" s="56"/>
      <c r="D398" s="56"/>
    </row>
    <row r="399" spans="3:4">
      <c r="C399" s="56"/>
      <c r="D399" s="56"/>
    </row>
    <row r="400" spans="3:4">
      <c r="C400" s="56"/>
      <c r="D400" s="56"/>
    </row>
    <row r="401" spans="3:4">
      <c r="C401" s="56"/>
      <c r="D401" s="56"/>
    </row>
    <row r="402" spans="3:4">
      <c r="C402" s="56"/>
      <c r="D402" s="56"/>
    </row>
    <row r="403" spans="3:4">
      <c r="C403" s="56"/>
      <c r="D403" s="56"/>
    </row>
    <row r="404" spans="3:4">
      <c r="C404" s="56"/>
      <c r="D404" s="56"/>
    </row>
    <row r="405" spans="3:4">
      <c r="C405" s="56"/>
      <c r="D405" s="56"/>
    </row>
    <row r="406" spans="3:4">
      <c r="C406" s="56"/>
      <c r="D406" s="56"/>
    </row>
    <row r="407" spans="3:4">
      <c r="C407" s="56"/>
      <c r="D407" s="56"/>
    </row>
    <row r="408" spans="3:4">
      <c r="C408" s="56"/>
      <c r="D408" s="56"/>
    </row>
    <row r="409" spans="3:4">
      <c r="C409" s="56"/>
      <c r="D409" s="56"/>
    </row>
    <row r="410" spans="3:4">
      <c r="C410" s="56"/>
      <c r="D410" s="56"/>
    </row>
    <row r="411" spans="3:4">
      <c r="C411" s="56"/>
      <c r="D411" s="56"/>
    </row>
    <row r="412" spans="3:4">
      <c r="C412" s="56"/>
      <c r="D412" s="56"/>
    </row>
    <row r="413" spans="3:4">
      <c r="C413" s="56"/>
      <c r="D413" s="56"/>
    </row>
    <row r="414" spans="3:4">
      <c r="C414" s="56"/>
      <c r="D414" s="56"/>
    </row>
    <row r="415" spans="3:4">
      <c r="C415" s="56"/>
      <c r="D415" s="56"/>
    </row>
    <row r="416" spans="3:4">
      <c r="C416" s="56"/>
      <c r="D416" s="56"/>
    </row>
    <row r="417" spans="3:4">
      <c r="C417" s="56"/>
      <c r="D417" s="56"/>
    </row>
    <row r="418" spans="3:4">
      <c r="C418" s="56"/>
      <c r="D418" s="56"/>
    </row>
    <row r="419" spans="3:4">
      <c r="C419" s="56"/>
      <c r="D419" s="56"/>
    </row>
    <row r="420" spans="3:4">
      <c r="C420" s="56"/>
      <c r="D420" s="56"/>
    </row>
    <row r="421" spans="3:4">
      <c r="C421" s="56"/>
      <c r="D421" s="56"/>
    </row>
    <row r="422" spans="3:4">
      <c r="C422" s="56"/>
      <c r="D422" s="56"/>
    </row>
    <row r="423" spans="3:4">
      <c r="C423" s="56"/>
      <c r="D423" s="56"/>
    </row>
    <row r="424" spans="3:4">
      <c r="C424" s="56"/>
      <c r="D424" s="56"/>
    </row>
    <row r="425" spans="3:4">
      <c r="C425" s="56"/>
      <c r="D425" s="56"/>
    </row>
    <row r="426" spans="3:4">
      <c r="C426" s="56"/>
      <c r="D426" s="56"/>
    </row>
    <row r="427" spans="3:4">
      <c r="C427" s="56"/>
      <c r="D427" s="56"/>
    </row>
    <row r="428" spans="3:4">
      <c r="C428" s="56"/>
      <c r="D428" s="56"/>
    </row>
    <row r="429" spans="3:4">
      <c r="C429" s="56"/>
      <c r="D429" s="56"/>
    </row>
    <row r="430" spans="3:4">
      <c r="C430" s="56"/>
      <c r="D430" s="56"/>
    </row>
    <row r="431" spans="3:4">
      <c r="C431" s="56"/>
      <c r="D431" s="56"/>
    </row>
    <row r="432" spans="3:4">
      <c r="C432" s="56"/>
      <c r="D432" s="56"/>
    </row>
    <row r="433" spans="3:4">
      <c r="C433" s="56"/>
      <c r="D433" s="56"/>
    </row>
    <row r="434" spans="3:4">
      <c r="C434" s="56"/>
      <c r="D434" s="56"/>
    </row>
    <row r="435" spans="3:4">
      <c r="C435" s="56"/>
      <c r="D435" s="56"/>
    </row>
    <row r="436" spans="3:4">
      <c r="C436" s="56"/>
      <c r="D436" s="56"/>
    </row>
    <row r="437" spans="3:4">
      <c r="C437" s="56"/>
      <c r="D437" s="56"/>
    </row>
    <row r="438" spans="3:4">
      <c r="C438" s="56"/>
      <c r="D438" s="56"/>
    </row>
    <row r="439" spans="3:4">
      <c r="C439" s="56"/>
      <c r="D439" s="56"/>
    </row>
    <row r="440" spans="3:4">
      <c r="C440" s="56"/>
      <c r="D440" s="56"/>
    </row>
    <row r="441" spans="3:4">
      <c r="C441" s="56"/>
      <c r="D441" s="56"/>
    </row>
    <row r="442" spans="3:4">
      <c r="C442" s="56"/>
      <c r="D442" s="56"/>
    </row>
    <row r="443" spans="3:4">
      <c r="C443" s="56"/>
      <c r="D443" s="56"/>
    </row>
    <row r="444" spans="3:4">
      <c r="C444" s="56"/>
      <c r="D444" s="56"/>
    </row>
    <row r="445" spans="3:4">
      <c r="C445" s="56"/>
      <c r="D445" s="56"/>
    </row>
    <row r="446" spans="3:4">
      <c r="C446" s="56"/>
      <c r="D446" s="56"/>
    </row>
    <row r="447" spans="3:4">
      <c r="C447" s="56"/>
      <c r="D447" s="56"/>
    </row>
    <row r="448" spans="3:4">
      <c r="C448" s="56"/>
      <c r="D448" s="56"/>
    </row>
    <row r="449" spans="3:4">
      <c r="C449" s="56"/>
      <c r="D449" s="56"/>
    </row>
    <row r="450" spans="3:4">
      <c r="C450" s="56"/>
      <c r="D450" s="56"/>
    </row>
    <row r="451" spans="3:4">
      <c r="C451" s="56"/>
      <c r="D451" s="56"/>
    </row>
    <row r="452" spans="3:4">
      <c r="C452" s="56"/>
      <c r="D452" s="56"/>
    </row>
    <row r="453" spans="3:4">
      <c r="C453" s="56"/>
      <c r="D453" s="56"/>
    </row>
    <row r="454" spans="3:4">
      <c r="C454" s="56"/>
      <c r="D454" s="56"/>
    </row>
    <row r="455" spans="3:4">
      <c r="C455" s="56"/>
      <c r="D455" s="56"/>
    </row>
    <row r="456" spans="3:4">
      <c r="C456" s="56"/>
      <c r="D456" s="56"/>
    </row>
    <row r="457" spans="3:4">
      <c r="C457" s="56"/>
      <c r="D457" s="56"/>
    </row>
    <row r="458" spans="3:4">
      <c r="C458" s="56"/>
      <c r="D458" s="56"/>
    </row>
    <row r="459" spans="3:4">
      <c r="C459" s="56"/>
      <c r="D459" s="56"/>
    </row>
    <row r="460" spans="3:4">
      <c r="C460" s="56"/>
      <c r="D460" s="56"/>
    </row>
    <row r="461" spans="3:4">
      <c r="C461" s="56"/>
      <c r="D461" s="56"/>
    </row>
    <row r="462" spans="3:4">
      <c r="C462" s="56"/>
      <c r="D462" s="56"/>
    </row>
    <row r="463" spans="3:4">
      <c r="C463" s="56"/>
      <c r="D463" s="56"/>
    </row>
    <row r="464" spans="3:4">
      <c r="C464" s="56"/>
      <c r="D464" s="56"/>
    </row>
    <row r="465" spans="3:4">
      <c r="C465" s="56"/>
      <c r="D465" s="56"/>
    </row>
    <row r="466" spans="3:4">
      <c r="C466" s="56"/>
      <c r="D466" s="56"/>
    </row>
    <row r="467" spans="3:4">
      <c r="C467" s="56"/>
      <c r="D467" s="56"/>
    </row>
    <row r="468" spans="3:4">
      <c r="C468" s="56"/>
      <c r="D468" s="56"/>
    </row>
    <row r="469" spans="3:4">
      <c r="C469" s="56"/>
      <c r="D469" s="56"/>
    </row>
    <row r="470" spans="3:4">
      <c r="C470" s="56"/>
      <c r="D470" s="56"/>
    </row>
    <row r="471" spans="3:4">
      <c r="C471" s="56"/>
      <c r="D471" s="56"/>
    </row>
    <row r="472" spans="3:4">
      <c r="C472" s="56"/>
      <c r="D472" s="56"/>
    </row>
    <row r="473" spans="3:4">
      <c r="C473" s="56"/>
      <c r="D473" s="56"/>
    </row>
    <row r="474" spans="3:4">
      <c r="C474" s="56"/>
      <c r="D474" s="56"/>
    </row>
    <row r="475" spans="3:4">
      <c r="C475" s="56"/>
      <c r="D475" s="56"/>
    </row>
    <row r="476" spans="3:4">
      <c r="C476" s="56"/>
      <c r="D476" s="56"/>
    </row>
    <row r="477" spans="3:4">
      <c r="C477" s="56"/>
      <c r="D477" s="56"/>
    </row>
    <row r="478" spans="3:4">
      <c r="C478" s="56"/>
      <c r="D478" s="56"/>
    </row>
    <row r="479" spans="3:4">
      <c r="C479" s="56"/>
      <c r="D479" s="56"/>
    </row>
    <row r="480" spans="3:4">
      <c r="C480" s="56"/>
      <c r="D480" s="56"/>
    </row>
    <row r="481" spans="3:4">
      <c r="C481" s="56"/>
      <c r="D481" s="56"/>
    </row>
    <row r="482" spans="3:4">
      <c r="C482" s="56"/>
      <c r="D482" s="56"/>
    </row>
    <row r="483" spans="3:4">
      <c r="C483" s="56"/>
      <c r="D483" s="56"/>
    </row>
    <row r="484" spans="3:4">
      <c r="C484" s="56"/>
      <c r="D484" s="56"/>
    </row>
    <row r="485" spans="3:4">
      <c r="C485" s="56"/>
      <c r="D485" s="56"/>
    </row>
    <row r="486" spans="3:4">
      <c r="C486" s="56"/>
      <c r="D486" s="56"/>
    </row>
    <row r="487" spans="3:4">
      <c r="C487" s="56"/>
      <c r="D487" s="56"/>
    </row>
    <row r="488" spans="3:4">
      <c r="C488" s="56"/>
      <c r="D488" s="56"/>
    </row>
    <row r="489" spans="3:4">
      <c r="C489" s="56"/>
      <c r="D489" s="56"/>
    </row>
    <row r="490" spans="3:4">
      <c r="C490" s="56"/>
      <c r="D490" s="56"/>
    </row>
    <row r="491" spans="3:4">
      <c r="C491" s="56"/>
      <c r="D491" s="56"/>
    </row>
    <row r="492" spans="3:4">
      <c r="C492" s="56"/>
      <c r="D492" s="56"/>
    </row>
    <row r="493" spans="3:4">
      <c r="C493" s="56"/>
      <c r="D493" s="56"/>
    </row>
    <row r="494" spans="3:4">
      <c r="C494" s="56"/>
      <c r="D494" s="56"/>
    </row>
    <row r="495" spans="3:4">
      <c r="C495" s="56"/>
      <c r="D495" s="56"/>
    </row>
    <row r="496" spans="3:4">
      <c r="C496" s="56"/>
      <c r="D496" s="56"/>
    </row>
    <row r="497" spans="3:4">
      <c r="C497" s="56"/>
      <c r="D497" s="56"/>
    </row>
    <row r="498" spans="3:4">
      <c r="C498" s="56"/>
      <c r="D498" s="56"/>
    </row>
    <row r="499" spans="3:4">
      <c r="C499" s="56"/>
      <c r="D499" s="56"/>
    </row>
    <row r="500" spans="3:4">
      <c r="C500" s="56"/>
      <c r="D500" s="56"/>
    </row>
    <row r="501" spans="3:4">
      <c r="C501" s="56"/>
      <c r="D501" s="56"/>
    </row>
    <row r="502" spans="3:4">
      <c r="C502" s="56"/>
      <c r="D502" s="56"/>
    </row>
    <row r="503" spans="3:4">
      <c r="C503" s="56"/>
      <c r="D503" s="56"/>
    </row>
    <row r="504" spans="3:4">
      <c r="C504" s="56"/>
      <c r="D504" s="56"/>
    </row>
    <row r="505" spans="3:4">
      <c r="C505" s="56"/>
      <c r="D505" s="56"/>
    </row>
    <row r="506" spans="3:4">
      <c r="C506" s="56"/>
      <c r="D506" s="56"/>
    </row>
    <row r="507" spans="3:4">
      <c r="C507" s="56"/>
      <c r="D507" s="56"/>
    </row>
    <row r="508" spans="3:4">
      <c r="C508" s="56"/>
      <c r="D508" s="56"/>
    </row>
    <row r="509" spans="3:4">
      <c r="C509" s="56"/>
      <c r="D509" s="56"/>
    </row>
    <row r="510" spans="3:4">
      <c r="C510" s="56"/>
      <c r="D510" s="56"/>
    </row>
    <row r="511" spans="3:4">
      <c r="C511" s="56"/>
      <c r="D511" s="56"/>
    </row>
    <row r="512" spans="3:4">
      <c r="C512" s="56"/>
      <c r="D512" s="56"/>
    </row>
    <row r="513" spans="3:4">
      <c r="C513" s="56"/>
      <c r="D513" s="56"/>
    </row>
    <row r="514" spans="3:4">
      <c r="C514" s="56"/>
      <c r="D514" s="56"/>
    </row>
    <row r="515" spans="3:4">
      <c r="C515" s="56"/>
      <c r="D515" s="56"/>
    </row>
    <row r="516" spans="3:4">
      <c r="C516" s="56"/>
      <c r="D516" s="56"/>
    </row>
    <row r="517" spans="3:4">
      <c r="C517" s="56"/>
      <c r="D517" s="56"/>
    </row>
    <row r="518" spans="3:4">
      <c r="C518" s="56"/>
      <c r="D518" s="56"/>
    </row>
    <row r="519" spans="3:4">
      <c r="C519" s="56"/>
      <c r="D519" s="56"/>
    </row>
    <row r="520" spans="3:4">
      <c r="C520" s="56"/>
      <c r="D520" s="56"/>
    </row>
    <row r="521" spans="3:4">
      <c r="C521" s="56"/>
      <c r="D521" s="56"/>
    </row>
    <row r="522" spans="3:4">
      <c r="C522" s="56"/>
      <c r="D522" s="56"/>
    </row>
    <row r="523" spans="3:4">
      <c r="C523" s="56"/>
      <c r="D523" s="56"/>
    </row>
    <row r="524" spans="3:4">
      <c r="C524" s="56"/>
      <c r="D524" s="56"/>
    </row>
    <row r="525" spans="3:4">
      <c r="C525" s="56"/>
      <c r="D525" s="56"/>
    </row>
    <row r="526" spans="3:4">
      <c r="C526" s="56"/>
      <c r="D526" s="56"/>
    </row>
    <row r="527" spans="3:4">
      <c r="C527" s="56"/>
      <c r="D527" s="56"/>
    </row>
    <row r="528" spans="3:4">
      <c r="C528" s="56"/>
      <c r="D528" s="56"/>
    </row>
    <row r="529" spans="3:4">
      <c r="C529" s="56"/>
      <c r="D529" s="56"/>
    </row>
    <row r="530" spans="3:4">
      <c r="C530" s="56"/>
      <c r="D530" s="56"/>
    </row>
    <row r="531" spans="3:4">
      <c r="C531" s="56"/>
      <c r="D531" s="56"/>
    </row>
    <row r="532" spans="3:4">
      <c r="C532" s="56"/>
      <c r="D532" s="56"/>
    </row>
    <row r="533" spans="3:4">
      <c r="C533" s="56"/>
      <c r="D533" s="56"/>
    </row>
    <row r="534" spans="3:4">
      <c r="C534" s="56"/>
      <c r="D534" s="56"/>
    </row>
    <row r="535" spans="3:4">
      <c r="C535" s="56"/>
      <c r="D535" s="56"/>
    </row>
    <row r="536" spans="3:4">
      <c r="C536" s="56"/>
      <c r="D536" s="56"/>
    </row>
    <row r="537" spans="3:4">
      <c r="C537" s="56"/>
      <c r="D537" s="56"/>
    </row>
    <row r="538" spans="3:4">
      <c r="C538" s="56"/>
      <c r="D538" s="56"/>
    </row>
    <row r="539" spans="3:4">
      <c r="C539" s="56"/>
      <c r="D539" s="56"/>
    </row>
    <row r="540" spans="3:4">
      <c r="C540" s="56"/>
      <c r="D540" s="56"/>
    </row>
    <row r="541" spans="3:4">
      <c r="C541" s="56"/>
      <c r="D541" s="56"/>
    </row>
    <row r="542" spans="3:4">
      <c r="C542" s="56"/>
      <c r="D542" s="56"/>
    </row>
    <row r="543" spans="3:4">
      <c r="C543" s="56"/>
      <c r="D543" s="56"/>
    </row>
    <row r="544" spans="3:4">
      <c r="C544" s="56"/>
      <c r="D544" s="56"/>
    </row>
    <row r="545" spans="3:4">
      <c r="C545" s="56"/>
      <c r="D545" s="56"/>
    </row>
    <row r="546" spans="3:4">
      <c r="C546" s="56"/>
      <c r="D546" s="56"/>
    </row>
    <row r="547" spans="3:4">
      <c r="C547" s="56"/>
      <c r="D547" s="56"/>
    </row>
    <row r="548" spans="3:4">
      <c r="C548" s="56"/>
      <c r="D548" s="56"/>
    </row>
    <row r="549" spans="3:4">
      <c r="C549" s="56"/>
      <c r="D549" s="56"/>
    </row>
    <row r="550" spans="3:4">
      <c r="C550" s="56"/>
      <c r="D550" s="56"/>
    </row>
    <row r="551" spans="3:4">
      <c r="C551" s="56"/>
      <c r="D551" s="56"/>
    </row>
    <row r="552" spans="3:4">
      <c r="C552" s="56"/>
      <c r="D552" s="56"/>
    </row>
    <row r="553" spans="3:4">
      <c r="C553" s="56"/>
      <c r="D553" s="56"/>
    </row>
    <row r="554" spans="3:4">
      <c r="C554" s="56"/>
      <c r="D554" s="56"/>
    </row>
    <row r="555" spans="3:4">
      <c r="C555" s="56"/>
      <c r="D555" s="56"/>
    </row>
    <row r="556" spans="3:4">
      <c r="C556" s="56"/>
      <c r="D556" s="56"/>
    </row>
    <row r="557" spans="3:4">
      <c r="C557" s="56"/>
      <c r="D557" s="56"/>
    </row>
    <row r="558" spans="3:4">
      <c r="C558" s="56"/>
      <c r="D558" s="56"/>
    </row>
    <row r="559" spans="3:4">
      <c r="C559" s="56"/>
      <c r="D559" s="56"/>
    </row>
    <row r="560" spans="3:4">
      <c r="C560" s="56"/>
      <c r="D560" s="56"/>
    </row>
    <row r="561" spans="3:4">
      <c r="C561" s="56"/>
      <c r="D561" s="56"/>
    </row>
    <row r="562" spans="3:4">
      <c r="C562" s="56"/>
      <c r="D562" s="56"/>
    </row>
    <row r="563" spans="3:4">
      <c r="C563" s="56"/>
      <c r="D563" s="56"/>
    </row>
    <row r="564" spans="3:4">
      <c r="C564" s="56"/>
      <c r="D564" s="56"/>
    </row>
    <row r="565" spans="3:4">
      <c r="C565" s="56"/>
      <c r="D565" s="56"/>
    </row>
    <row r="566" spans="3:4">
      <c r="C566" s="56"/>
      <c r="D566" s="56"/>
    </row>
    <row r="567" spans="3:4">
      <c r="C567" s="56"/>
      <c r="D567" s="56"/>
    </row>
    <row r="568" spans="3:4">
      <c r="C568" s="56"/>
      <c r="D568" s="56"/>
    </row>
    <row r="569" spans="3:4">
      <c r="C569" s="56"/>
      <c r="D569" s="56"/>
    </row>
    <row r="570" spans="3:4">
      <c r="C570" s="56"/>
      <c r="D570" s="56"/>
    </row>
    <row r="571" spans="3:4">
      <c r="C571" s="56"/>
      <c r="D571" s="56"/>
    </row>
    <row r="572" spans="3:4">
      <c r="C572" s="56"/>
      <c r="D572" s="56"/>
    </row>
    <row r="573" spans="3:4">
      <c r="C573" s="56"/>
      <c r="D573" s="56"/>
    </row>
    <row r="574" spans="3:4">
      <c r="C574" s="56"/>
      <c r="D574" s="56"/>
    </row>
    <row r="575" spans="3:4">
      <c r="C575" s="56"/>
      <c r="D575" s="56"/>
    </row>
    <row r="576" spans="3:4">
      <c r="C576" s="56"/>
      <c r="D576" s="56"/>
    </row>
    <row r="577" spans="3:4">
      <c r="C577" s="56"/>
      <c r="D577" s="56"/>
    </row>
    <row r="578" spans="3:4">
      <c r="C578" s="56"/>
      <c r="D578" s="56"/>
    </row>
    <row r="579" spans="3:4">
      <c r="C579" s="56"/>
      <c r="D579" s="56"/>
    </row>
    <row r="580" spans="3:4">
      <c r="C580" s="56"/>
      <c r="D580" s="56"/>
    </row>
    <row r="581" spans="3:4">
      <c r="C581" s="56"/>
      <c r="D581" s="56"/>
    </row>
    <row r="582" spans="3:4">
      <c r="C582" s="56"/>
      <c r="D582" s="56"/>
    </row>
    <row r="583" spans="3:4">
      <c r="C583" s="56"/>
      <c r="D583" s="56"/>
    </row>
    <row r="584" spans="3:4">
      <c r="C584" s="56"/>
      <c r="D584" s="56"/>
    </row>
    <row r="585" spans="3:4">
      <c r="C585" s="56"/>
      <c r="D585" s="56"/>
    </row>
    <row r="586" spans="3:4">
      <c r="C586" s="56"/>
      <c r="D586" s="56"/>
    </row>
    <row r="587" spans="3:4">
      <c r="C587" s="56"/>
      <c r="D587" s="56"/>
    </row>
    <row r="588" spans="3:4">
      <c r="C588" s="56"/>
      <c r="D588" s="56"/>
    </row>
    <row r="589" spans="3:4">
      <c r="C589" s="56"/>
      <c r="D589" s="56"/>
    </row>
    <row r="590" spans="3:4">
      <c r="C590" s="56"/>
      <c r="D590" s="56"/>
    </row>
    <row r="591" spans="3:4">
      <c r="C591" s="56"/>
      <c r="D591" s="56"/>
    </row>
    <row r="592" spans="3:4">
      <c r="C592" s="56"/>
      <c r="D592" s="56"/>
    </row>
    <row r="593" spans="3:4">
      <c r="C593" s="56"/>
      <c r="D593" s="56"/>
    </row>
    <row r="594" spans="3:4">
      <c r="C594" s="56"/>
      <c r="D594" s="56"/>
    </row>
    <row r="595" spans="3:4">
      <c r="C595" s="56"/>
      <c r="D595" s="56"/>
    </row>
    <row r="596" spans="3:4">
      <c r="C596" s="56"/>
      <c r="D596" s="56"/>
    </row>
    <row r="597" spans="3:4">
      <c r="C597" s="56"/>
      <c r="D597" s="56"/>
    </row>
    <row r="598" spans="3:4">
      <c r="C598" s="56"/>
      <c r="D598" s="56"/>
    </row>
    <row r="599" spans="3:4">
      <c r="C599" s="56"/>
      <c r="D599" s="56"/>
    </row>
    <row r="600" spans="3:4">
      <c r="C600" s="56"/>
      <c r="D600" s="56"/>
    </row>
    <row r="601" spans="3:4">
      <c r="C601" s="56"/>
      <c r="D601" s="56"/>
    </row>
    <row r="602" spans="3:4">
      <c r="C602" s="56"/>
      <c r="D602" s="56"/>
    </row>
    <row r="603" spans="3:4">
      <c r="C603" s="56"/>
      <c r="D603" s="56"/>
    </row>
    <row r="604" spans="3:4">
      <c r="C604" s="56"/>
      <c r="D604" s="56"/>
    </row>
    <row r="605" spans="3:4">
      <c r="C605" s="56"/>
      <c r="D605" s="56"/>
    </row>
    <row r="606" spans="3:4">
      <c r="C606" s="56"/>
      <c r="D606" s="56"/>
    </row>
    <row r="607" spans="3:4">
      <c r="C607" s="56"/>
      <c r="D607" s="56"/>
    </row>
    <row r="608" spans="3:4">
      <c r="C608" s="56"/>
      <c r="D608" s="56"/>
    </row>
    <row r="609" spans="3:4">
      <c r="C609" s="56"/>
      <c r="D609" s="56"/>
    </row>
    <row r="610" spans="3:4">
      <c r="C610" s="56"/>
      <c r="D610" s="56"/>
    </row>
    <row r="611" spans="3:4">
      <c r="C611" s="56"/>
      <c r="D611" s="56"/>
    </row>
    <row r="612" spans="3:4">
      <c r="C612" s="56"/>
      <c r="D612" s="56"/>
    </row>
    <row r="613" spans="3:4">
      <c r="C613" s="56"/>
      <c r="D613" s="56"/>
    </row>
    <row r="614" spans="3:4">
      <c r="C614" s="56"/>
      <c r="D614" s="56"/>
    </row>
    <row r="615" spans="3:4">
      <c r="C615" s="56"/>
      <c r="D615" s="56"/>
    </row>
    <row r="616" spans="3:4">
      <c r="C616" s="56"/>
      <c r="D616" s="56"/>
    </row>
    <row r="617" spans="3:4">
      <c r="C617" s="56"/>
      <c r="D617" s="56"/>
    </row>
    <row r="618" spans="3:4">
      <c r="C618" s="56"/>
      <c r="D618" s="56"/>
    </row>
    <row r="619" spans="3:4">
      <c r="C619" s="56"/>
      <c r="D619" s="56"/>
    </row>
    <row r="620" spans="3:4">
      <c r="C620" s="56"/>
      <c r="D620" s="56"/>
    </row>
    <row r="621" spans="3:4">
      <c r="C621" s="56"/>
      <c r="D621" s="56"/>
    </row>
    <row r="622" spans="3:4">
      <c r="C622" s="56"/>
      <c r="D622" s="56"/>
    </row>
    <row r="623" spans="3:4">
      <c r="C623" s="56"/>
      <c r="D623" s="56"/>
    </row>
    <row r="624" spans="3:4">
      <c r="C624" s="56"/>
      <c r="D624" s="56"/>
    </row>
    <row r="625" spans="3:4">
      <c r="C625" s="56"/>
      <c r="D625" s="56"/>
    </row>
    <row r="626" spans="3:4">
      <c r="C626" s="56"/>
      <c r="D626" s="56"/>
    </row>
    <row r="627" spans="3:4">
      <c r="C627" s="56"/>
      <c r="D627" s="56"/>
    </row>
    <row r="628" spans="3:4">
      <c r="C628" s="56"/>
      <c r="D628" s="56"/>
    </row>
    <row r="629" spans="3:4">
      <c r="C629" s="56"/>
      <c r="D629" s="56"/>
    </row>
    <row r="630" spans="3:4">
      <c r="C630" s="56"/>
      <c r="D630" s="56"/>
    </row>
    <row r="631" spans="3:4">
      <c r="C631" s="56"/>
      <c r="D631" s="56"/>
    </row>
    <row r="632" spans="3:4">
      <c r="C632" s="56"/>
      <c r="D632" s="56"/>
    </row>
    <row r="633" spans="3:4">
      <c r="C633" s="56"/>
      <c r="D633" s="56"/>
    </row>
    <row r="634" spans="3:4">
      <c r="C634" s="56"/>
      <c r="D634" s="56"/>
    </row>
    <row r="635" spans="3:4">
      <c r="C635" s="56"/>
      <c r="D635" s="56"/>
    </row>
    <row r="636" spans="3:4">
      <c r="C636" s="56"/>
      <c r="D636" s="56"/>
    </row>
    <row r="637" spans="3:4">
      <c r="C637" s="56"/>
      <c r="D637" s="56"/>
    </row>
    <row r="638" spans="3:4">
      <c r="C638" s="56"/>
      <c r="D638" s="56"/>
    </row>
    <row r="639" spans="3:4">
      <c r="C639" s="56"/>
      <c r="D639" s="56"/>
    </row>
    <row r="640" spans="3:4">
      <c r="C640" s="56"/>
      <c r="D640" s="56"/>
    </row>
    <row r="641" spans="3:4">
      <c r="C641" s="56"/>
      <c r="D641" s="56"/>
    </row>
    <row r="642" spans="3:4">
      <c r="C642" s="56"/>
      <c r="D642" s="56"/>
    </row>
    <row r="643" spans="3:4">
      <c r="C643" s="56"/>
      <c r="D643" s="56"/>
    </row>
    <row r="644" spans="3:4">
      <c r="C644" s="56"/>
      <c r="D644" s="56"/>
    </row>
    <row r="645" spans="3:4">
      <c r="C645" s="56"/>
      <c r="D645" s="56"/>
    </row>
    <row r="646" spans="3:4">
      <c r="C646" s="56"/>
      <c r="D646" s="56"/>
    </row>
    <row r="647" spans="3:4">
      <c r="C647" s="56"/>
      <c r="D647" s="56"/>
    </row>
    <row r="648" spans="3:4">
      <c r="C648" s="56"/>
      <c r="D648" s="56"/>
    </row>
    <row r="649" spans="3:4">
      <c r="C649" s="56"/>
      <c r="D649" s="56"/>
    </row>
    <row r="650" spans="3:4">
      <c r="C650" s="56"/>
      <c r="D650" s="56"/>
    </row>
    <row r="651" spans="3:4">
      <c r="C651" s="56"/>
      <c r="D651" s="56"/>
    </row>
    <row r="652" spans="3:4">
      <c r="C652" s="56"/>
      <c r="D652" s="56"/>
    </row>
    <row r="653" spans="3:4">
      <c r="C653" s="56"/>
      <c r="D653" s="56"/>
    </row>
    <row r="654" spans="3:4">
      <c r="C654" s="56"/>
      <c r="D654" s="56"/>
    </row>
    <row r="655" spans="3:4">
      <c r="C655" s="56"/>
      <c r="D655" s="56"/>
    </row>
    <row r="656" spans="3:4">
      <c r="C656" s="56"/>
      <c r="D656" s="56"/>
    </row>
    <row r="657" spans="3:4">
      <c r="C657" s="56"/>
      <c r="D657" s="56"/>
    </row>
    <row r="658" spans="3:4">
      <c r="C658" s="56"/>
      <c r="D658" s="56"/>
    </row>
    <row r="659" spans="3:4">
      <c r="C659" s="56"/>
      <c r="D659" s="56"/>
    </row>
    <row r="660" spans="3:4">
      <c r="C660" s="56"/>
      <c r="D660" s="56"/>
    </row>
    <row r="661" spans="3:4">
      <c r="C661" s="56"/>
      <c r="D661" s="56"/>
    </row>
    <row r="662" spans="3:4">
      <c r="C662" s="56"/>
      <c r="D662" s="56"/>
    </row>
    <row r="663" spans="3:4">
      <c r="C663" s="56"/>
      <c r="D663" s="56"/>
    </row>
    <row r="664" spans="3:4">
      <c r="C664" s="56"/>
      <c r="D664" s="56"/>
    </row>
    <row r="665" spans="3:4">
      <c r="C665" s="56"/>
      <c r="D665" s="56"/>
    </row>
    <row r="666" spans="3:4">
      <c r="C666" s="56"/>
      <c r="D666" s="56"/>
    </row>
    <row r="667" spans="3:4">
      <c r="C667" s="56"/>
      <c r="D667" s="56"/>
    </row>
    <row r="668" spans="3:4">
      <c r="C668" s="56"/>
      <c r="D668" s="56"/>
    </row>
    <row r="669" spans="3:4">
      <c r="C669" s="56"/>
      <c r="D669" s="56"/>
    </row>
    <row r="670" spans="3:4">
      <c r="C670" s="56"/>
      <c r="D670" s="56"/>
    </row>
    <row r="671" spans="3:4">
      <c r="C671" s="56"/>
      <c r="D671" s="56"/>
    </row>
    <row r="672" spans="3:4">
      <c r="C672" s="56"/>
      <c r="D672" s="56"/>
    </row>
    <row r="673" spans="3:4">
      <c r="C673" s="56"/>
      <c r="D673" s="56"/>
    </row>
    <row r="674" spans="3:4">
      <c r="C674" s="56"/>
      <c r="D674" s="56"/>
    </row>
    <row r="675" spans="3:4">
      <c r="C675" s="56"/>
      <c r="D675" s="56"/>
    </row>
    <row r="676" spans="3:4">
      <c r="C676" s="56"/>
      <c r="D676" s="56"/>
    </row>
    <row r="677" spans="3:4">
      <c r="C677" s="56"/>
      <c r="D677" s="56"/>
    </row>
    <row r="678" spans="3:4">
      <c r="C678" s="56"/>
      <c r="D678" s="56"/>
    </row>
    <row r="679" spans="3:4">
      <c r="C679" s="56"/>
      <c r="D679" s="56"/>
    </row>
    <row r="680" spans="3:4">
      <c r="C680" s="56"/>
      <c r="D680" s="56"/>
    </row>
    <row r="681" spans="3:4">
      <c r="C681" s="56"/>
      <c r="D681" s="56"/>
    </row>
    <row r="682" spans="3:4">
      <c r="C682" s="56"/>
      <c r="D682" s="56"/>
    </row>
    <row r="683" spans="3:4">
      <c r="C683" s="56"/>
      <c r="D683" s="56"/>
    </row>
    <row r="684" spans="3:4">
      <c r="C684" s="56"/>
      <c r="D684" s="56"/>
    </row>
    <row r="685" spans="3:4">
      <c r="C685" s="56"/>
      <c r="D685" s="56"/>
    </row>
    <row r="686" spans="3:4">
      <c r="C686" s="56"/>
      <c r="D686" s="56"/>
    </row>
    <row r="687" spans="3:4">
      <c r="C687" s="56"/>
      <c r="D687" s="56"/>
    </row>
    <row r="688" spans="3:4">
      <c r="C688" s="56"/>
      <c r="D688" s="56"/>
    </row>
    <row r="689" spans="3:4">
      <c r="C689" s="56"/>
      <c r="D689" s="56"/>
    </row>
    <row r="690" spans="3:4">
      <c r="C690" s="56"/>
      <c r="D690" s="56"/>
    </row>
    <row r="691" spans="3:4">
      <c r="C691" s="56"/>
      <c r="D691" s="56"/>
    </row>
    <row r="692" spans="3:4">
      <c r="C692" s="56"/>
      <c r="D692" s="56"/>
    </row>
    <row r="693" spans="3:4">
      <c r="C693" s="56"/>
      <c r="D693" s="56"/>
    </row>
    <row r="694" spans="3:4">
      <c r="C694" s="56"/>
      <c r="D694" s="56"/>
    </row>
    <row r="695" spans="3:4">
      <c r="C695" s="56"/>
      <c r="D695" s="56"/>
    </row>
    <row r="696" spans="3:4">
      <c r="C696" s="56"/>
      <c r="D696" s="56"/>
    </row>
    <row r="697" spans="3:4">
      <c r="C697" s="56"/>
      <c r="D697" s="56"/>
    </row>
    <row r="698" spans="3:4">
      <c r="C698" s="56"/>
      <c r="D698" s="56"/>
    </row>
    <row r="699" spans="3:4">
      <c r="C699" s="56"/>
      <c r="D699" s="56"/>
    </row>
    <row r="700" spans="3:4">
      <c r="C700" s="56"/>
      <c r="D700" s="56"/>
    </row>
    <row r="701" spans="3:4">
      <c r="C701" s="56"/>
      <c r="D701" s="56"/>
    </row>
    <row r="702" spans="3:4">
      <c r="C702" s="56"/>
      <c r="D702" s="56"/>
    </row>
    <row r="703" spans="3:4">
      <c r="C703" s="56"/>
      <c r="D703" s="56"/>
    </row>
    <row r="704" spans="3:4">
      <c r="C704" s="56"/>
      <c r="D704" s="56"/>
    </row>
    <row r="705" spans="3:4">
      <c r="C705" s="56"/>
      <c r="D705" s="56"/>
    </row>
    <row r="706" spans="3:4">
      <c r="C706" s="56"/>
      <c r="D706" s="56"/>
    </row>
    <row r="707" spans="3:4">
      <c r="C707" s="56"/>
      <c r="D707" s="56"/>
    </row>
    <row r="708" spans="3:4">
      <c r="C708" s="56"/>
      <c r="D708" s="56"/>
    </row>
    <row r="709" spans="3:4">
      <c r="C709" s="56"/>
      <c r="D709" s="56"/>
    </row>
    <row r="710" spans="3:4">
      <c r="C710" s="56"/>
      <c r="D710" s="56"/>
    </row>
    <row r="711" spans="3:4">
      <c r="C711" s="56"/>
      <c r="D711" s="56"/>
    </row>
    <row r="712" spans="3:4">
      <c r="C712" s="56"/>
      <c r="D712" s="56"/>
    </row>
    <row r="713" spans="3:4">
      <c r="C713" s="56"/>
      <c r="D713" s="56"/>
    </row>
    <row r="714" spans="3:4">
      <c r="C714" s="56"/>
      <c r="D714" s="56"/>
    </row>
    <row r="715" spans="3:4">
      <c r="C715" s="56"/>
      <c r="D715" s="56"/>
    </row>
    <row r="716" spans="3:4">
      <c r="C716" s="56"/>
      <c r="D716" s="56"/>
    </row>
    <row r="717" spans="3:4">
      <c r="C717" s="56"/>
      <c r="D717" s="56"/>
    </row>
    <row r="718" spans="3:4">
      <c r="C718" s="56"/>
      <c r="D718" s="56"/>
    </row>
    <row r="719" spans="3:4">
      <c r="C719" s="56"/>
      <c r="D719" s="56"/>
    </row>
    <row r="720" spans="3:4">
      <c r="C720" s="56"/>
      <c r="D720" s="56"/>
    </row>
    <row r="721" spans="3:4">
      <c r="C721" s="56"/>
      <c r="D721" s="56"/>
    </row>
    <row r="722" spans="3:4">
      <c r="C722" s="56"/>
      <c r="D722" s="56"/>
    </row>
    <row r="723" spans="3:4">
      <c r="C723" s="56"/>
      <c r="D723" s="56"/>
    </row>
    <row r="724" spans="3:4">
      <c r="C724" s="56"/>
      <c r="D724" s="56"/>
    </row>
    <row r="725" spans="3:4">
      <c r="C725" s="56"/>
      <c r="D725" s="56"/>
    </row>
    <row r="726" spans="3:4">
      <c r="C726" s="56"/>
      <c r="D726" s="56"/>
    </row>
    <row r="727" spans="3:4">
      <c r="C727" s="56"/>
      <c r="D727" s="56"/>
    </row>
    <row r="728" spans="3:4">
      <c r="C728" s="56"/>
      <c r="D728" s="56"/>
    </row>
    <row r="729" spans="3:4">
      <c r="C729" s="56"/>
      <c r="D729" s="56"/>
    </row>
    <row r="730" spans="3:4">
      <c r="C730" s="56"/>
      <c r="D730" s="56"/>
    </row>
    <row r="731" spans="3:4">
      <c r="C731" s="56"/>
      <c r="D731" s="56"/>
    </row>
    <row r="732" spans="3:4">
      <c r="C732" s="56"/>
      <c r="D732" s="56"/>
    </row>
    <row r="733" spans="3:4">
      <c r="C733" s="56"/>
      <c r="D733" s="56"/>
    </row>
    <row r="734" spans="3:4">
      <c r="C734" s="56"/>
      <c r="D734" s="56"/>
    </row>
    <row r="735" spans="3:4">
      <c r="C735" s="56"/>
      <c r="D735" s="56"/>
    </row>
    <row r="736" spans="3:4">
      <c r="C736" s="56"/>
      <c r="D736" s="56"/>
    </row>
    <row r="737" spans="3:4">
      <c r="C737" s="56"/>
      <c r="D737" s="56"/>
    </row>
    <row r="738" spans="3:4">
      <c r="C738" s="56"/>
      <c r="D738" s="56"/>
    </row>
    <row r="739" spans="3:4">
      <c r="C739" s="56"/>
      <c r="D739" s="56"/>
    </row>
    <row r="740" spans="3:4">
      <c r="C740" s="56"/>
      <c r="D740" s="56"/>
    </row>
    <row r="741" spans="3:4">
      <c r="C741" s="56"/>
      <c r="D741" s="56"/>
    </row>
    <row r="742" spans="3:4">
      <c r="C742" s="56"/>
      <c r="D742" s="56"/>
    </row>
    <row r="743" spans="3:4">
      <c r="C743" s="56"/>
      <c r="D743" s="56"/>
    </row>
    <row r="744" spans="3:4">
      <c r="C744" s="56"/>
      <c r="D744" s="56"/>
    </row>
    <row r="745" spans="3:4">
      <c r="C745" s="56"/>
      <c r="D745" s="56"/>
    </row>
    <row r="746" spans="3:4">
      <c r="C746" s="56"/>
      <c r="D746" s="56"/>
    </row>
    <row r="747" spans="3:4">
      <c r="C747" s="56"/>
      <c r="D747" s="56"/>
    </row>
    <row r="748" spans="3:4">
      <c r="C748" s="56"/>
      <c r="D748" s="56"/>
    </row>
    <row r="749" spans="3:4">
      <c r="C749" s="56"/>
      <c r="D749" s="56"/>
    </row>
    <row r="750" spans="3:4">
      <c r="C750" s="56"/>
      <c r="D750" s="56"/>
    </row>
    <row r="751" spans="3:4">
      <c r="C751" s="56"/>
      <c r="D751" s="56"/>
    </row>
    <row r="752" spans="3:4">
      <c r="C752" s="56"/>
      <c r="D752" s="56"/>
    </row>
    <row r="753" spans="3:4">
      <c r="C753" s="56"/>
      <c r="D753" s="56"/>
    </row>
    <row r="754" spans="3:4">
      <c r="C754" s="56"/>
      <c r="D754" s="56"/>
    </row>
    <row r="755" spans="3:4">
      <c r="C755" s="56"/>
      <c r="D755" s="56"/>
    </row>
    <row r="756" spans="3:4">
      <c r="C756" s="56"/>
      <c r="D756" s="56"/>
    </row>
    <row r="757" spans="3:4">
      <c r="C757" s="56"/>
      <c r="D757" s="56"/>
    </row>
    <row r="758" spans="3:4">
      <c r="C758" s="56"/>
      <c r="D758" s="56"/>
    </row>
    <row r="759" spans="3:4">
      <c r="C759" s="56"/>
      <c r="D759" s="56"/>
    </row>
    <row r="760" spans="3:4">
      <c r="C760" s="56"/>
      <c r="D760" s="56"/>
    </row>
    <row r="761" spans="3:4">
      <c r="C761" s="56"/>
      <c r="D761" s="56"/>
    </row>
    <row r="762" spans="3:4">
      <c r="C762" s="56"/>
      <c r="D762" s="56"/>
    </row>
    <row r="763" spans="3:4">
      <c r="C763" s="56"/>
      <c r="D763" s="56"/>
    </row>
    <row r="764" spans="3:4">
      <c r="C764" s="56"/>
      <c r="D764" s="56"/>
    </row>
    <row r="765" spans="3:4">
      <c r="C765" s="56"/>
      <c r="D765" s="56"/>
    </row>
    <row r="766" spans="3:4">
      <c r="C766" s="56"/>
      <c r="D766" s="56"/>
    </row>
    <row r="767" spans="3:4">
      <c r="C767" s="56"/>
      <c r="D767" s="56"/>
    </row>
    <row r="768" spans="3:4">
      <c r="C768" s="56"/>
      <c r="D768" s="56"/>
    </row>
    <row r="769" spans="3:4">
      <c r="C769" s="56"/>
      <c r="D769" s="56"/>
    </row>
    <row r="770" spans="3:4">
      <c r="C770" s="56"/>
      <c r="D770" s="56"/>
    </row>
    <row r="771" spans="3:4">
      <c r="C771" s="56"/>
      <c r="D771" s="56"/>
    </row>
    <row r="772" spans="3:4">
      <c r="C772" s="56"/>
      <c r="D772" s="56"/>
    </row>
    <row r="773" spans="3:4">
      <c r="C773" s="56"/>
      <c r="D773" s="56"/>
    </row>
    <row r="774" spans="3:4">
      <c r="C774" s="56"/>
      <c r="D774" s="56"/>
    </row>
    <row r="775" spans="3:4">
      <c r="C775" s="56"/>
      <c r="D775" s="56"/>
    </row>
    <row r="776" spans="3:4">
      <c r="C776" s="56"/>
      <c r="D776" s="56"/>
    </row>
    <row r="777" spans="3:4">
      <c r="C777" s="56"/>
      <c r="D777" s="56"/>
    </row>
    <row r="778" spans="3:4">
      <c r="C778" s="56"/>
      <c r="D778" s="56"/>
    </row>
    <row r="779" spans="3:4">
      <c r="C779" s="56"/>
      <c r="D779" s="56"/>
    </row>
    <row r="780" spans="3:4">
      <c r="C780" s="56"/>
      <c r="D780" s="56"/>
    </row>
    <row r="781" spans="3:4">
      <c r="C781" s="56"/>
      <c r="D781" s="56"/>
    </row>
    <row r="782" spans="3:4">
      <c r="C782" s="56"/>
      <c r="D782" s="56"/>
    </row>
    <row r="783" spans="3:4">
      <c r="C783" s="56"/>
      <c r="D783" s="56"/>
    </row>
    <row r="784" spans="3:4">
      <c r="C784" s="56"/>
      <c r="D784" s="56"/>
    </row>
    <row r="785" spans="3:4">
      <c r="C785" s="56"/>
      <c r="D785" s="56"/>
    </row>
    <row r="786" spans="3:4">
      <c r="C786" s="56"/>
      <c r="D786" s="56"/>
    </row>
    <row r="787" spans="3:4">
      <c r="C787" s="56"/>
      <c r="D787" s="56"/>
    </row>
    <row r="788" spans="3:4">
      <c r="C788" s="56"/>
      <c r="D788" s="56"/>
    </row>
    <row r="789" spans="3:4">
      <c r="C789" s="56"/>
      <c r="D789" s="56"/>
    </row>
    <row r="790" spans="3:4">
      <c r="C790" s="56"/>
      <c r="D790" s="56"/>
    </row>
    <row r="791" spans="3:4">
      <c r="C791" s="56"/>
      <c r="D791" s="56"/>
    </row>
    <row r="792" spans="3:4">
      <c r="C792" s="56"/>
      <c r="D792" s="56"/>
    </row>
    <row r="793" spans="3:4">
      <c r="C793" s="56"/>
      <c r="D793" s="56"/>
    </row>
    <row r="794" spans="3:4">
      <c r="C794" s="56"/>
      <c r="D794" s="56"/>
    </row>
    <row r="795" spans="3:4">
      <c r="C795" s="56"/>
      <c r="D795" s="56"/>
    </row>
    <row r="796" spans="3:4">
      <c r="C796" s="56"/>
      <c r="D796" s="56"/>
    </row>
    <row r="797" spans="3:4">
      <c r="C797" s="56"/>
      <c r="D797" s="56"/>
    </row>
    <row r="798" spans="3:4">
      <c r="C798" s="56"/>
      <c r="D798" s="56"/>
    </row>
    <row r="799" spans="3:4">
      <c r="C799" s="56"/>
      <c r="D799" s="56"/>
    </row>
    <row r="800" spans="3:4">
      <c r="C800" s="56"/>
      <c r="D800" s="56"/>
    </row>
    <row r="801" spans="3:4">
      <c r="C801" s="56"/>
      <c r="D801" s="56"/>
    </row>
    <row r="802" spans="3:4">
      <c r="C802" s="56"/>
      <c r="D802" s="56"/>
    </row>
    <row r="803" spans="3:4">
      <c r="C803" s="56"/>
      <c r="D803" s="56"/>
    </row>
    <row r="804" spans="3:4">
      <c r="C804" s="56"/>
      <c r="D804" s="56"/>
    </row>
    <row r="805" spans="3:4">
      <c r="C805" s="56"/>
      <c r="D805" s="56"/>
    </row>
    <row r="806" spans="3:4">
      <c r="C806" s="56"/>
      <c r="D806" s="56"/>
    </row>
    <row r="807" spans="3:4">
      <c r="C807" s="56"/>
      <c r="D807" s="56"/>
    </row>
    <row r="808" spans="3:4">
      <c r="C808" s="56"/>
      <c r="D808" s="56"/>
    </row>
    <row r="809" spans="3:4">
      <c r="C809" s="56"/>
      <c r="D809" s="56"/>
    </row>
    <row r="810" spans="3:4">
      <c r="C810" s="56"/>
      <c r="D810" s="56"/>
    </row>
    <row r="811" spans="3:4">
      <c r="C811" s="56"/>
      <c r="D811" s="56"/>
    </row>
    <row r="812" spans="3:4">
      <c r="C812" s="56"/>
      <c r="D812" s="56"/>
    </row>
    <row r="813" spans="3:4">
      <c r="C813" s="56"/>
      <c r="D813" s="56"/>
    </row>
    <row r="814" spans="3:4">
      <c r="C814" s="56"/>
      <c r="D814" s="56"/>
    </row>
    <row r="815" spans="3:4">
      <c r="C815" s="56"/>
      <c r="D815" s="56"/>
    </row>
    <row r="816" spans="3:4">
      <c r="C816" s="56"/>
      <c r="D816" s="56"/>
    </row>
    <row r="817" spans="3:4">
      <c r="C817" s="56"/>
      <c r="D817" s="56"/>
    </row>
    <row r="818" spans="3:4">
      <c r="C818" s="56"/>
      <c r="D818" s="56"/>
    </row>
    <row r="819" spans="3:4">
      <c r="C819" s="56"/>
      <c r="D819" s="56"/>
    </row>
    <row r="820" spans="3:4">
      <c r="C820" s="56"/>
      <c r="D820" s="56"/>
    </row>
    <row r="821" spans="3:4">
      <c r="C821" s="56"/>
      <c r="D821" s="56"/>
    </row>
    <row r="822" spans="3:4">
      <c r="C822" s="56"/>
      <c r="D822" s="56"/>
    </row>
    <row r="823" spans="3:4">
      <c r="C823" s="56"/>
      <c r="D823" s="56"/>
    </row>
    <row r="824" spans="3:4">
      <c r="C824" s="56"/>
      <c r="D824" s="56"/>
    </row>
    <row r="825" spans="3:4">
      <c r="C825" s="56"/>
      <c r="D825" s="56"/>
    </row>
    <row r="826" spans="3:4">
      <c r="C826" s="56"/>
      <c r="D826" s="56"/>
    </row>
    <row r="827" spans="3:4">
      <c r="C827" s="56"/>
      <c r="D827" s="56"/>
    </row>
    <row r="828" spans="3:4">
      <c r="C828" s="56"/>
      <c r="D828" s="56"/>
    </row>
    <row r="829" spans="3:4">
      <c r="C829" s="56"/>
      <c r="D829" s="56"/>
    </row>
    <row r="830" spans="3:4">
      <c r="C830" s="56"/>
      <c r="D830" s="56"/>
    </row>
    <row r="831" spans="3:4">
      <c r="C831" s="56"/>
      <c r="D831" s="56"/>
    </row>
    <row r="832" spans="3:4">
      <c r="C832" s="56"/>
      <c r="D832" s="56"/>
    </row>
    <row r="833" spans="3:4">
      <c r="C833" s="56"/>
      <c r="D833" s="56"/>
    </row>
    <row r="834" spans="3:4">
      <c r="C834" s="56"/>
      <c r="D834" s="56"/>
    </row>
    <row r="835" spans="3:4">
      <c r="C835" s="56"/>
      <c r="D835" s="56"/>
    </row>
    <row r="836" spans="3:4">
      <c r="C836" s="56"/>
      <c r="D836" s="56"/>
    </row>
    <row r="837" spans="3:4">
      <c r="C837" s="56"/>
      <c r="D837" s="56"/>
    </row>
    <row r="838" spans="3:4">
      <c r="C838" s="56"/>
      <c r="D838" s="56"/>
    </row>
    <row r="839" spans="3:4">
      <c r="C839" s="56"/>
      <c r="D839" s="56"/>
    </row>
    <row r="840" spans="3:4">
      <c r="C840" s="56"/>
      <c r="D840" s="56"/>
    </row>
    <row r="841" spans="3:4">
      <c r="C841" s="56"/>
      <c r="D841" s="56"/>
    </row>
    <row r="842" spans="3:4">
      <c r="C842" s="56"/>
      <c r="D842" s="56"/>
    </row>
    <row r="843" spans="3:4">
      <c r="C843" s="56"/>
      <c r="D843" s="56"/>
    </row>
    <row r="844" spans="3:4">
      <c r="C844" s="56"/>
      <c r="D844" s="56"/>
    </row>
    <row r="845" spans="3:4">
      <c r="C845" s="56"/>
      <c r="D845" s="56"/>
    </row>
    <row r="846" spans="3:4">
      <c r="C846" s="56"/>
      <c r="D846" s="56"/>
    </row>
    <row r="847" spans="3:4">
      <c r="C847" s="56"/>
      <c r="D847" s="56"/>
    </row>
    <row r="848" spans="3:4">
      <c r="C848" s="56"/>
      <c r="D848" s="56"/>
    </row>
    <row r="849" spans="3:4">
      <c r="C849" s="56"/>
      <c r="D849" s="56"/>
    </row>
    <row r="850" spans="3:4">
      <c r="C850" s="56"/>
      <c r="D850" s="56"/>
    </row>
    <row r="851" spans="3:4">
      <c r="C851" s="56"/>
      <c r="D851" s="56"/>
    </row>
    <row r="852" spans="3:4">
      <c r="C852" s="56"/>
      <c r="D852" s="56"/>
    </row>
    <row r="853" spans="3:4">
      <c r="C853" s="56"/>
      <c r="D853" s="56"/>
    </row>
    <row r="854" spans="3:4">
      <c r="C854" s="56"/>
      <c r="D854" s="56"/>
    </row>
    <row r="855" spans="3:4">
      <c r="C855" s="56"/>
      <c r="D855" s="56"/>
    </row>
    <row r="856" spans="3:4">
      <c r="C856" s="56"/>
      <c r="D856" s="56"/>
    </row>
    <row r="857" spans="3:4">
      <c r="C857" s="56"/>
      <c r="D857" s="56"/>
    </row>
    <row r="858" spans="3:4">
      <c r="C858" s="56"/>
      <c r="D858" s="56"/>
    </row>
    <row r="859" spans="3:4">
      <c r="C859" s="56"/>
      <c r="D859" s="56"/>
    </row>
    <row r="860" spans="3:4">
      <c r="C860" s="56"/>
      <c r="D860" s="56"/>
    </row>
    <row r="861" spans="3:4">
      <c r="C861" s="56"/>
      <c r="D861" s="56"/>
    </row>
    <row r="862" spans="3:4">
      <c r="C862" s="56"/>
      <c r="D862" s="56"/>
    </row>
    <row r="863" spans="3:4">
      <c r="C863" s="56"/>
      <c r="D863" s="56"/>
    </row>
    <row r="864" spans="3:4">
      <c r="C864" s="56"/>
      <c r="D864" s="56"/>
    </row>
    <row r="865" spans="3:4">
      <c r="C865" s="56"/>
      <c r="D865" s="56"/>
    </row>
    <row r="866" spans="3:4">
      <c r="C866" s="56"/>
      <c r="D866" s="56"/>
    </row>
    <row r="867" spans="3:4">
      <c r="C867" s="56"/>
      <c r="D867" s="56"/>
    </row>
    <row r="868" spans="3:4">
      <c r="C868" s="56"/>
      <c r="D868" s="56"/>
    </row>
    <row r="869" spans="3:4">
      <c r="C869" s="56"/>
      <c r="D869" s="56"/>
    </row>
    <row r="870" spans="3:4">
      <c r="C870" s="56"/>
      <c r="D870" s="56"/>
    </row>
    <row r="871" spans="3:4">
      <c r="C871" s="56"/>
      <c r="D871" s="56"/>
    </row>
    <row r="872" spans="3:4">
      <c r="C872" s="56"/>
      <c r="D872" s="56"/>
    </row>
    <row r="873" spans="3:4">
      <c r="C873" s="56"/>
      <c r="D873" s="56"/>
    </row>
    <row r="874" spans="3:4">
      <c r="C874" s="56"/>
      <c r="D874" s="56"/>
    </row>
    <row r="875" spans="3:4">
      <c r="C875" s="56"/>
      <c r="D875" s="56"/>
    </row>
    <row r="876" spans="3:4">
      <c r="C876" s="56"/>
      <c r="D876" s="56"/>
    </row>
    <row r="877" spans="3:4">
      <c r="C877" s="56"/>
      <c r="D877" s="56"/>
    </row>
    <row r="878" spans="3:4">
      <c r="C878" s="56"/>
      <c r="D878" s="56"/>
    </row>
    <row r="879" spans="3:4">
      <c r="C879" s="56"/>
      <c r="D879" s="56"/>
    </row>
    <row r="880" spans="3:4">
      <c r="C880" s="56"/>
      <c r="D880" s="56"/>
    </row>
    <row r="881" spans="3:4">
      <c r="C881" s="56"/>
      <c r="D881" s="56"/>
    </row>
    <row r="882" spans="3:4">
      <c r="C882" s="56"/>
      <c r="D882" s="56"/>
    </row>
    <row r="883" spans="3:4">
      <c r="C883" s="56"/>
      <c r="D883" s="56"/>
    </row>
    <row r="884" spans="3:4">
      <c r="C884" s="56"/>
      <c r="D884" s="56"/>
    </row>
    <row r="885" spans="3:4">
      <c r="C885" s="56"/>
      <c r="D885" s="56"/>
    </row>
    <row r="886" spans="3:4">
      <c r="C886" s="56"/>
      <c r="D886" s="56"/>
    </row>
    <row r="887" spans="3:4">
      <c r="C887" s="56"/>
      <c r="D887" s="56"/>
    </row>
    <row r="888" spans="3:4">
      <c r="C888" s="56"/>
      <c r="D888" s="56"/>
    </row>
    <row r="889" spans="3:4">
      <c r="C889" s="56"/>
      <c r="D889" s="56"/>
    </row>
    <row r="890" spans="3:4">
      <c r="C890" s="56"/>
      <c r="D890" s="56"/>
    </row>
    <row r="891" spans="3:4">
      <c r="C891" s="56"/>
      <c r="D891" s="56"/>
    </row>
    <row r="892" spans="3:4">
      <c r="C892" s="56"/>
      <c r="D892" s="56"/>
    </row>
    <row r="893" spans="3:4">
      <c r="C893" s="56"/>
      <c r="D893" s="56"/>
    </row>
    <row r="894" spans="3:4">
      <c r="C894" s="56"/>
      <c r="D894" s="56"/>
    </row>
    <row r="895" spans="3:4">
      <c r="C895" s="56"/>
      <c r="D895" s="56"/>
    </row>
    <row r="896" spans="3:4">
      <c r="C896" s="56"/>
      <c r="D896" s="56"/>
    </row>
    <row r="897" spans="3:4">
      <c r="C897" s="56"/>
      <c r="D897" s="56"/>
    </row>
    <row r="898" spans="3:4">
      <c r="C898" s="56"/>
      <c r="D898" s="56"/>
    </row>
    <row r="899" spans="3:4">
      <c r="C899" s="56"/>
      <c r="D899" s="56"/>
    </row>
    <row r="900" spans="3:4">
      <c r="C900" s="56"/>
      <c r="D900" s="56"/>
    </row>
    <row r="901" spans="3:4">
      <c r="C901" s="56"/>
      <c r="D901" s="56"/>
    </row>
    <row r="902" spans="3:4">
      <c r="C902" s="56"/>
      <c r="D902" s="56"/>
    </row>
    <row r="903" spans="3:4">
      <c r="C903" s="56"/>
      <c r="D903" s="56"/>
    </row>
    <row r="904" spans="3:4">
      <c r="C904" s="56"/>
      <c r="D904" s="56"/>
    </row>
    <row r="905" spans="3:4">
      <c r="C905" s="56"/>
      <c r="D905" s="56"/>
    </row>
    <row r="906" spans="3:4">
      <c r="C906" s="56"/>
      <c r="D906" s="56"/>
    </row>
    <row r="907" spans="3:4">
      <c r="C907" s="56"/>
      <c r="D907" s="56"/>
    </row>
    <row r="908" spans="3:4">
      <c r="C908" s="56"/>
      <c r="D908" s="56"/>
    </row>
    <row r="909" spans="3:4">
      <c r="C909" s="56"/>
      <c r="D909" s="56"/>
    </row>
    <row r="910" spans="3:4">
      <c r="C910" s="56"/>
      <c r="D910" s="56"/>
    </row>
    <row r="911" spans="3:4">
      <c r="C911" s="56"/>
      <c r="D911" s="56"/>
    </row>
    <row r="912" spans="3:4">
      <c r="C912" s="56"/>
      <c r="D912" s="56"/>
    </row>
    <row r="913" spans="3:4">
      <c r="C913" s="56"/>
      <c r="D913" s="56"/>
    </row>
    <row r="914" spans="3:4">
      <c r="C914" s="56"/>
      <c r="D914" s="56"/>
    </row>
    <row r="915" spans="3:4">
      <c r="C915" s="56"/>
      <c r="D915" s="56"/>
    </row>
    <row r="916" spans="3:4">
      <c r="C916" s="56"/>
      <c r="D916" s="56"/>
    </row>
    <row r="917" spans="3:4">
      <c r="C917" s="56"/>
      <c r="D917" s="56"/>
    </row>
    <row r="918" spans="3:4">
      <c r="C918" s="56"/>
      <c r="D918" s="56"/>
    </row>
    <row r="919" spans="3:4">
      <c r="C919" s="56"/>
      <c r="D919" s="56"/>
    </row>
    <row r="920" spans="3:4">
      <c r="C920" s="56"/>
      <c r="D920" s="56"/>
    </row>
    <row r="921" spans="3:4">
      <c r="C921" s="56"/>
      <c r="D921" s="56"/>
    </row>
    <row r="922" spans="3:4">
      <c r="C922" s="56"/>
      <c r="D922" s="56"/>
    </row>
    <row r="923" spans="3:4">
      <c r="C923" s="56"/>
      <c r="D923" s="56"/>
    </row>
    <row r="924" spans="3:4">
      <c r="C924" s="56"/>
      <c r="D924" s="56"/>
    </row>
    <row r="925" spans="3:4">
      <c r="C925" s="56"/>
      <c r="D925" s="56"/>
    </row>
    <row r="926" spans="3:4">
      <c r="C926" s="56"/>
      <c r="D926" s="56"/>
    </row>
    <row r="927" spans="3:4">
      <c r="C927" s="56"/>
      <c r="D927" s="56"/>
    </row>
    <row r="928" spans="3:4">
      <c r="C928" s="56"/>
      <c r="D928" s="56"/>
    </row>
    <row r="929" spans="3:4">
      <c r="C929" s="56"/>
      <c r="D929" s="56"/>
    </row>
    <row r="930" spans="3:4">
      <c r="C930" s="56"/>
      <c r="D930" s="56"/>
    </row>
    <row r="931" spans="3:4">
      <c r="C931" s="56"/>
      <c r="D931" s="56"/>
    </row>
    <row r="932" spans="3:4">
      <c r="C932" s="56"/>
      <c r="D932" s="56"/>
    </row>
    <row r="933" spans="3:4">
      <c r="C933" s="56"/>
      <c r="D933" s="56"/>
    </row>
    <row r="934" spans="3:4">
      <c r="C934" s="56"/>
      <c r="D934" s="56"/>
    </row>
    <row r="935" spans="3:4">
      <c r="C935" s="56"/>
      <c r="D935" s="56"/>
    </row>
    <row r="936" spans="3:4">
      <c r="C936" s="56"/>
      <c r="D936" s="56"/>
    </row>
    <row r="937" spans="3:4">
      <c r="C937" s="56"/>
      <c r="D937" s="56"/>
    </row>
    <row r="938" spans="3:4">
      <c r="C938" s="56"/>
      <c r="D938" s="56"/>
    </row>
    <row r="939" spans="3:4">
      <c r="C939" s="56"/>
      <c r="D939" s="56"/>
    </row>
    <row r="940" spans="3:4">
      <c r="C940" s="56"/>
      <c r="D940" s="56"/>
    </row>
    <row r="941" spans="3:4">
      <c r="C941" s="56"/>
      <c r="D941" s="56"/>
    </row>
    <row r="942" spans="3:4">
      <c r="C942" s="56"/>
      <c r="D942" s="56"/>
    </row>
    <row r="943" spans="3:4">
      <c r="C943" s="56"/>
      <c r="D943" s="56"/>
    </row>
    <row r="944" spans="3:4">
      <c r="C944" s="56"/>
      <c r="D944" s="56"/>
    </row>
    <row r="945" spans="3:4">
      <c r="C945" s="56"/>
      <c r="D945" s="56"/>
    </row>
    <row r="946" spans="3:4">
      <c r="C946" s="56"/>
      <c r="D946" s="56"/>
    </row>
    <row r="947" spans="3:4">
      <c r="C947" s="56"/>
      <c r="D947" s="56"/>
    </row>
    <row r="948" spans="3:4">
      <c r="C948" s="56"/>
      <c r="D948" s="56"/>
    </row>
    <row r="949" spans="3:4">
      <c r="C949" s="56"/>
      <c r="D949" s="56"/>
    </row>
    <row r="950" spans="3:4">
      <c r="C950" s="56"/>
      <c r="D950" s="56"/>
    </row>
    <row r="951" spans="3:4">
      <c r="C951" s="56"/>
      <c r="D951" s="56"/>
    </row>
    <row r="952" spans="3:4">
      <c r="C952" s="56"/>
      <c r="D952" s="56"/>
    </row>
    <row r="953" spans="3:4">
      <c r="C953" s="56"/>
      <c r="D953" s="56"/>
    </row>
    <row r="954" spans="3:4">
      <c r="C954" s="56"/>
      <c r="D954" s="56"/>
    </row>
    <row r="955" spans="3:4">
      <c r="C955" s="56"/>
      <c r="D955" s="56"/>
    </row>
    <row r="956" spans="3:4">
      <c r="C956" s="56"/>
      <c r="D956" s="56"/>
    </row>
    <row r="957" spans="3:4">
      <c r="C957" s="56"/>
      <c r="D957" s="56"/>
    </row>
    <row r="958" spans="3:4">
      <c r="C958" s="56"/>
      <c r="D958" s="56"/>
    </row>
    <row r="959" spans="3:4">
      <c r="C959" s="56"/>
      <c r="D959" s="56"/>
    </row>
    <row r="960" spans="3:4">
      <c r="C960" s="56"/>
      <c r="D960" s="56"/>
    </row>
    <row r="961" spans="3:4">
      <c r="C961" s="56"/>
      <c r="D961" s="56"/>
    </row>
    <row r="962" spans="3:4">
      <c r="C962" s="56"/>
      <c r="D962" s="56"/>
    </row>
    <row r="963" spans="3:4">
      <c r="C963" s="56"/>
      <c r="D963" s="56"/>
    </row>
    <row r="964" spans="3:4">
      <c r="C964" s="56"/>
      <c r="D964" s="56"/>
    </row>
    <row r="965" spans="3:4">
      <c r="C965" s="56"/>
      <c r="D965" s="56"/>
    </row>
    <row r="966" spans="3:4">
      <c r="C966" s="56"/>
      <c r="D966" s="56"/>
    </row>
    <row r="967" spans="3:4">
      <c r="C967" s="56"/>
      <c r="D967" s="56"/>
    </row>
    <row r="968" spans="3:4">
      <c r="C968" s="56"/>
      <c r="D968" s="56"/>
    </row>
    <row r="969" spans="3:4">
      <c r="C969" s="56"/>
      <c r="D969" s="56"/>
    </row>
    <row r="970" spans="3:4">
      <c r="C970" s="56"/>
      <c r="D970" s="56"/>
    </row>
    <row r="971" spans="3:4">
      <c r="C971" s="56"/>
      <c r="D971" s="56"/>
    </row>
    <row r="972" spans="3:4">
      <c r="C972" s="56"/>
      <c r="D972" s="56"/>
    </row>
    <row r="973" spans="3:4">
      <c r="C973" s="56"/>
      <c r="D973" s="56"/>
    </row>
    <row r="974" spans="3:4">
      <c r="C974" s="56"/>
      <c r="D974" s="56"/>
    </row>
    <row r="975" spans="3:4">
      <c r="C975" s="56"/>
      <c r="D975" s="56"/>
    </row>
    <row r="976" spans="3:4">
      <c r="C976" s="56"/>
      <c r="D976" s="56"/>
    </row>
    <row r="977" spans="3:4">
      <c r="C977" s="56"/>
      <c r="D977" s="56"/>
    </row>
    <row r="978" spans="3:4">
      <c r="C978" s="56"/>
      <c r="D978" s="56"/>
    </row>
    <row r="979" spans="3:4">
      <c r="C979" s="56"/>
      <c r="D979" s="56"/>
    </row>
    <row r="980" spans="3:4">
      <c r="C980" s="56"/>
      <c r="D980" s="56"/>
    </row>
    <row r="981" spans="3:4">
      <c r="C981" s="56"/>
      <c r="D981" s="56"/>
    </row>
    <row r="982" spans="3:4">
      <c r="C982" s="56"/>
      <c r="D982" s="56"/>
    </row>
    <row r="983" spans="3:4">
      <c r="C983" s="56"/>
      <c r="D983" s="56"/>
    </row>
    <row r="984" spans="3:4">
      <c r="C984" s="56"/>
      <c r="D984" s="56"/>
    </row>
    <row r="985" spans="3:4">
      <c r="C985" s="56"/>
      <c r="D985" s="56"/>
    </row>
    <row r="986" spans="3:4">
      <c r="C986" s="56"/>
      <c r="D986" s="56"/>
    </row>
    <row r="987" spans="3:4">
      <c r="C987" s="56"/>
      <c r="D987" s="56"/>
    </row>
    <row r="988" spans="3:4">
      <c r="C988" s="56"/>
      <c r="D988" s="56"/>
    </row>
    <row r="989" spans="3:4">
      <c r="C989" s="56"/>
      <c r="D989" s="56"/>
    </row>
    <row r="990" spans="3:4">
      <c r="C990" s="56"/>
      <c r="D990" s="56"/>
    </row>
    <row r="991" spans="3:4">
      <c r="C991" s="56"/>
      <c r="D991" s="56"/>
    </row>
    <row r="992" spans="3:4">
      <c r="C992" s="56"/>
      <c r="D992" s="56"/>
    </row>
    <row r="993" spans="3:4">
      <c r="C993" s="56"/>
      <c r="D993" s="56"/>
    </row>
    <row r="994" spans="3:4">
      <c r="C994" s="56"/>
      <c r="D994" s="56"/>
    </row>
    <row r="995" spans="3:4">
      <c r="C995" s="56"/>
      <c r="D995" s="56"/>
    </row>
    <row r="996" spans="3:4">
      <c r="C996" s="56"/>
      <c r="D996" s="56"/>
    </row>
    <row r="997" spans="3:4">
      <c r="C997" s="56"/>
      <c r="D997" s="56"/>
    </row>
    <row r="998" spans="3:4">
      <c r="C998" s="56"/>
      <c r="D998" s="56"/>
    </row>
    <row r="999" spans="3:4">
      <c r="C999" s="56"/>
      <c r="D999" s="56"/>
    </row>
    <row r="1000" spans="3:4">
      <c r="C1000" s="56"/>
      <c r="D1000" s="5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5:T59"/>
  <sheetViews>
    <sheetView workbookViewId="0"/>
  </sheetViews>
  <sheetFormatPr defaultColWidth="12.6640625" defaultRowHeight="15.75" customHeight="1"/>
  <sheetData>
    <row r="5" spans="1:13">
      <c r="B5" s="1" t="s">
        <v>247</v>
      </c>
    </row>
    <row r="6" spans="1:13">
      <c r="B6" s="1" t="s">
        <v>248</v>
      </c>
    </row>
    <row r="12" spans="1:13">
      <c r="A12" s="1" t="s">
        <v>249</v>
      </c>
      <c r="B12" s="45">
        <v>30</v>
      </c>
      <c r="C12" s="1" t="s">
        <v>250</v>
      </c>
    </row>
    <row r="14" spans="1:13" ht="15.75" customHeight="1">
      <c r="A14" s="78" t="s">
        <v>176</v>
      </c>
      <c r="B14" s="78">
        <v>0</v>
      </c>
      <c r="C14" s="78">
        <v>-20</v>
      </c>
      <c r="D14" s="78">
        <v>-40</v>
      </c>
      <c r="E14" s="78">
        <v>-60</v>
      </c>
      <c r="F14" s="78">
        <v>-80</v>
      </c>
      <c r="G14" s="78">
        <v>-100</v>
      </c>
      <c r="H14" s="78">
        <v>-120</v>
      </c>
      <c r="I14" s="78">
        <v>-140</v>
      </c>
      <c r="J14" s="78">
        <v>-160</v>
      </c>
      <c r="K14" s="78">
        <v>-180</v>
      </c>
      <c r="L14" s="78"/>
      <c r="M14" s="78"/>
    </row>
    <row r="15" spans="1:13" ht="15.75" customHeight="1">
      <c r="A15" s="78">
        <v>30</v>
      </c>
      <c r="B15" s="1">
        <v>113</v>
      </c>
      <c r="C15" s="1">
        <v>36</v>
      </c>
      <c r="D15" s="1">
        <v>19</v>
      </c>
      <c r="E15" s="1">
        <v>8</v>
      </c>
      <c r="F15" s="1">
        <v>9</v>
      </c>
      <c r="G15" s="1">
        <v>11</v>
      </c>
      <c r="H15" s="1">
        <v>9</v>
      </c>
      <c r="I15" s="1">
        <v>6</v>
      </c>
      <c r="J15" s="1">
        <v>5</v>
      </c>
      <c r="K15" s="1">
        <v>7</v>
      </c>
    </row>
    <row r="16" spans="1:13" ht="15.6">
      <c r="A16" s="78">
        <f t="shared" ref="A16:A27" si="0">A15-5</f>
        <v>25</v>
      </c>
      <c r="B16" s="1">
        <v>662</v>
      </c>
      <c r="C16" s="1">
        <v>366</v>
      </c>
      <c r="D16" s="1">
        <v>61</v>
      </c>
      <c r="E16" s="1">
        <v>21</v>
      </c>
      <c r="F16" s="1">
        <v>18</v>
      </c>
      <c r="G16" s="1">
        <v>10</v>
      </c>
      <c r="H16" s="1">
        <v>4</v>
      </c>
      <c r="I16" s="1">
        <v>5</v>
      </c>
      <c r="J16" s="1">
        <v>9</v>
      </c>
      <c r="K16" s="1">
        <v>6</v>
      </c>
    </row>
    <row r="17" spans="1:11" ht="15.6">
      <c r="A17" s="78">
        <f t="shared" si="0"/>
        <v>20</v>
      </c>
      <c r="B17" s="1">
        <v>1395</v>
      </c>
      <c r="C17" s="1">
        <v>1133</v>
      </c>
      <c r="D17" s="1">
        <v>564</v>
      </c>
      <c r="E17" s="1">
        <v>94</v>
      </c>
      <c r="F17" s="1">
        <v>19</v>
      </c>
      <c r="G17" s="1">
        <v>17</v>
      </c>
      <c r="H17" s="1">
        <v>11</v>
      </c>
      <c r="I17" s="1">
        <v>10</v>
      </c>
      <c r="J17" s="1">
        <v>7</v>
      </c>
      <c r="K17" s="1">
        <v>12</v>
      </c>
    </row>
    <row r="18" spans="1:11" ht="15.6">
      <c r="A18" s="78">
        <f t="shared" si="0"/>
        <v>15</v>
      </c>
      <c r="B18" s="1">
        <v>1513</v>
      </c>
      <c r="C18" s="1">
        <v>1676</v>
      </c>
      <c r="D18" s="1">
        <v>1396</v>
      </c>
      <c r="E18" s="1">
        <v>653</v>
      </c>
      <c r="F18" s="1">
        <v>119</v>
      </c>
      <c r="G18" s="1">
        <v>17</v>
      </c>
      <c r="H18" s="1">
        <v>8</v>
      </c>
      <c r="I18" s="1">
        <v>16</v>
      </c>
      <c r="J18" s="1">
        <v>23</v>
      </c>
      <c r="K18" s="1">
        <v>107</v>
      </c>
    </row>
    <row r="19" spans="1:11" ht="15.6">
      <c r="A19" s="78">
        <f t="shared" si="0"/>
        <v>10</v>
      </c>
      <c r="B19" s="1">
        <v>1289</v>
      </c>
      <c r="C19" s="1">
        <v>1302</v>
      </c>
      <c r="D19" s="1">
        <v>1489</v>
      </c>
      <c r="E19" s="1">
        <v>1458</v>
      </c>
      <c r="F19" s="1">
        <v>774</v>
      </c>
      <c r="G19" s="1">
        <v>99</v>
      </c>
      <c r="H19" s="1">
        <v>27</v>
      </c>
      <c r="I19" s="1">
        <v>31</v>
      </c>
      <c r="J19" s="1">
        <v>52</v>
      </c>
      <c r="K19" s="1">
        <v>405</v>
      </c>
    </row>
    <row r="20" spans="1:11" ht="15.6">
      <c r="A20" s="78">
        <f t="shared" si="0"/>
        <v>5</v>
      </c>
      <c r="B20" s="1">
        <v>972</v>
      </c>
      <c r="C20" s="1">
        <v>628</v>
      </c>
      <c r="D20" s="1">
        <v>859</v>
      </c>
      <c r="E20" s="1">
        <v>1512</v>
      </c>
      <c r="F20" s="1">
        <v>1592</v>
      </c>
      <c r="G20" s="1">
        <v>775</v>
      </c>
      <c r="H20" s="1">
        <v>141</v>
      </c>
      <c r="I20" s="1">
        <v>43</v>
      </c>
      <c r="J20" s="1">
        <v>281</v>
      </c>
      <c r="K20" s="1">
        <v>770</v>
      </c>
    </row>
    <row r="21" spans="1:11" ht="15.6">
      <c r="A21" s="78">
        <f t="shared" si="0"/>
        <v>0</v>
      </c>
      <c r="B21" s="1">
        <v>786</v>
      </c>
      <c r="C21" s="1">
        <v>616</v>
      </c>
      <c r="D21" s="1">
        <v>385</v>
      </c>
      <c r="E21" s="1">
        <v>754</v>
      </c>
      <c r="F21" s="1">
        <v>1407</v>
      </c>
      <c r="G21" s="1">
        <v>1457</v>
      </c>
      <c r="H21" s="1">
        <v>812</v>
      </c>
      <c r="I21" s="1">
        <v>427</v>
      </c>
      <c r="J21" s="1">
        <v>685</v>
      </c>
      <c r="K21" s="1">
        <v>867</v>
      </c>
    </row>
    <row r="22" spans="1:11" ht="15.6">
      <c r="A22" s="78">
        <f t="shared" si="0"/>
        <v>-5</v>
      </c>
      <c r="B22" s="1">
        <v>536</v>
      </c>
      <c r="C22" s="1">
        <v>760</v>
      </c>
      <c r="D22" s="1">
        <v>645</v>
      </c>
      <c r="E22" s="1">
        <v>399</v>
      </c>
      <c r="F22" s="1">
        <v>807</v>
      </c>
      <c r="G22" s="1">
        <v>1637</v>
      </c>
      <c r="H22" s="1">
        <v>1750</v>
      </c>
      <c r="I22" s="1">
        <v>1368</v>
      </c>
      <c r="J22" s="1">
        <v>1330</v>
      </c>
      <c r="K22" s="1">
        <v>1081</v>
      </c>
    </row>
    <row r="23" spans="1:11" ht="15.6">
      <c r="A23" s="78">
        <f t="shared" si="0"/>
        <v>-10</v>
      </c>
      <c r="B23" s="1">
        <v>146</v>
      </c>
      <c r="C23" s="1">
        <v>527</v>
      </c>
      <c r="D23" s="1">
        <v>837</v>
      </c>
      <c r="E23" s="1">
        <v>698</v>
      </c>
      <c r="F23" s="1">
        <v>601</v>
      </c>
      <c r="G23" s="1">
        <v>1136</v>
      </c>
      <c r="H23" s="1">
        <v>1933</v>
      </c>
      <c r="I23" s="1">
        <v>2195</v>
      </c>
      <c r="J23" s="1">
        <v>1973</v>
      </c>
      <c r="K23" s="1">
        <v>1416</v>
      </c>
    </row>
    <row r="24" spans="1:11" ht="15.6">
      <c r="A24" s="78">
        <f t="shared" si="0"/>
        <v>-15</v>
      </c>
      <c r="B24" s="1">
        <v>21</v>
      </c>
      <c r="C24" s="1">
        <v>143</v>
      </c>
      <c r="D24" s="1">
        <v>504</v>
      </c>
      <c r="E24" s="1">
        <v>800</v>
      </c>
      <c r="F24" s="1">
        <v>811</v>
      </c>
      <c r="G24" s="1">
        <v>873</v>
      </c>
      <c r="H24" s="1">
        <v>1446</v>
      </c>
      <c r="I24" s="1">
        <v>1872</v>
      </c>
      <c r="J24" s="1">
        <v>1857</v>
      </c>
      <c r="K24" s="1">
        <v>1771</v>
      </c>
    </row>
    <row r="25" spans="1:11" ht="15.6">
      <c r="A25" s="78">
        <f t="shared" si="0"/>
        <v>-20</v>
      </c>
      <c r="B25" s="1">
        <v>9</v>
      </c>
      <c r="C25" s="1">
        <v>9</v>
      </c>
      <c r="D25" s="1">
        <v>122</v>
      </c>
      <c r="E25" s="1">
        <v>460</v>
      </c>
      <c r="F25" s="1">
        <v>644</v>
      </c>
      <c r="G25" s="1">
        <v>725</v>
      </c>
      <c r="H25" s="1">
        <v>683</v>
      </c>
      <c r="I25" s="1">
        <v>781</v>
      </c>
      <c r="J25" s="1">
        <v>1046</v>
      </c>
      <c r="K25" s="1">
        <v>1266</v>
      </c>
    </row>
    <row r="26" spans="1:11" ht="15.6">
      <c r="A26" s="78">
        <f t="shared" si="0"/>
        <v>-25</v>
      </c>
      <c r="B26" s="1">
        <v>9</v>
      </c>
      <c r="C26" s="1">
        <v>5</v>
      </c>
      <c r="D26" s="1">
        <v>20</v>
      </c>
      <c r="E26" s="1">
        <v>98</v>
      </c>
      <c r="F26" s="1">
        <v>229</v>
      </c>
      <c r="G26" s="1">
        <v>346</v>
      </c>
      <c r="H26" s="1">
        <v>321</v>
      </c>
      <c r="I26" s="1">
        <v>175</v>
      </c>
      <c r="J26" s="1">
        <v>299</v>
      </c>
      <c r="K26" s="1">
        <v>585</v>
      </c>
    </row>
    <row r="27" spans="1:11" ht="15.6">
      <c r="A27" s="78">
        <f t="shared" si="0"/>
        <v>-30</v>
      </c>
      <c r="B27" s="1">
        <v>9</v>
      </c>
      <c r="C27" s="1">
        <v>10</v>
      </c>
      <c r="D27" s="1">
        <v>10</v>
      </c>
      <c r="E27" s="1">
        <v>20</v>
      </c>
      <c r="F27" s="1">
        <v>48</v>
      </c>
      <c r="G27" s="1">
        <v>80</v>
      </c>
      <c r="H27" s="1">
        <v>64</v>
      </c>
      <c r="I27" s="1">
        <v>38</v>
      </c>
      <c r="J27" s="1">
        <v>31</v>
      </c>
      <c r="K27" s="1">
        <v>96</v>
      </c>
    </row>
    <row r="29" spans="1:11" ht="15.6">
      <c r="A29" s="78" t="str">
        <f t="shared" ref="A29:A42" si="1">A14</f>
        <v>Theta/Phi</v>
      </c>
      <c r="B29" s="78">
        <f t="shared" ref="B29:K29" si="2">90-B14</f>
        <v>90</v>
      </c>
      <c r="C29" s="78">
        <f t="shared" si="2"/>
        <v>110</v>
      </c>
      <c r="D29" s="78">
        <f t="shared" si="2"/>
        <v>130</v>
      </c>
      <c r="E29" s="78">
        <f t="shared" si="2"/>
        <v>150</v>
      </c>
      <c r="F29" s="78">
        <f t="shared" si="2"/>
        <v>170</v>
      </c>
      <c r="G29" s="78">
        <f t="shared" si="2"/>
        <v>190</v>
      </c>
      <c r="H29" s="78">
        <f t="shared" si="2"/>
        <v>210</v>
      </c>
      <c r="I29" s="78">
        <f t="shared" si="2"/>
        <v>230</v>
      </c>
      <c r="J29" s="78">
        <f t="shared" si="2"/>
        <v>250</v>
      </c>
      <c r="K29" s="78">
        <f t="shared" si="2"/>
        <v>270</v>
      </c>
    </row>
    <row r="30" spans="1:11" ht="15.6">
      <c r="A30" s="78">
        <f t="shared" si="1"/>
        <v>30</v>
      </c>
      <c r="B30" s="88">
        <f t="shared" ref="B30:K30" si="3">B15</f>
        <v>113</v>
      </c>
      <c r="C30" s="88">
        <f t="shared" si="3"/>
        <v>36</v>
      </c>
      <c r="D30" s="88">
        <f t="shared" si="3"/>
        <v>19</v>
      </c>
      <c r="E30" s="88">
        <f t="shared" si="3"/>
        <v>8</v>
      </c>
      <c r="F30" s="88">
        <f t="shared" si="3"/>
        <v>9</v>
      </c>
      <c r="G30" s="88">
        <f t="shared" si="3"/>
        <v>11</v>
      </c>
      <c r="H30" s="88">
        <f t="shared" si="3"/>
        <v>9</v>
      </c>
      <c r="I30" s="88">
        <f t="shared" si="3"/>
        <v>6</v>
      </c>
      <c r="J30" s="88">
        <f t="shared" si="3"/>
        <v>5</v>
      </c>
      <c r="K30" s="88">
        <f t="shared" si="3"/>
        <v>7</v>
      </c>
    </row>
    <row r="31" spans="1:11" ht="15.6">
      <c r="A31" s="78">
        <f t="shared" si="1"/>
        <v>25</v>
      </c>
      <c r="B31" s="88">
        <f t="shared" ref="B31:K31" si="4">B16</f>
        <v>662</v>
      </c>
      <c r="C31" s="88">
        <f t="shared" si="4"/>
        <v>366</v>
      </c>
      <c r="D31" s="88">
        <f t="shared" si="4"/>
        <v>61</v>
      </c>
      <c r="E31" s="88">
        <f t="shared" si="4"/>
        <v>21</v>
      </c>
      <c r="F31" s="88">
        <f t="shared" si="4"/>
        <v>18</v>
      </c>
      <c r="G31" s="88">
        <f t="shared" si="4"/>
        <v>10</v>
      </c>
      <c r="H31" s="88">
        <f t="shared" si="4"/>
        <v>4</v>
      </c>
      <c r="I31" s="88">
        <f t="shared" si="4"/>
        <v>5</v>
      </c>
      <c r="J31" s="88">
        <f t="shared" si="4"/>
        <v>9</v>
      </c>
      <c r="K31" s="88">
        <f t="shared" si="4"/>
        <v>6</v>
      </c>
    </row>
    <row r="32" spans="1:11" ht="15.6">
      <c r="A32" s="78">
        <f t="shared" si="1"/>
        <v>20</v>
      </c>
      <c r="B32" s="88">
        <f t="shared" ref="B32:K32" si="5">B17</f>
        <v>1395</v>
      </c>
      <c r="C32" s="88">
        <f t="shared" si="5"/>
        <v>1133</v>
      </c>
      <c r="D32" s="88">
        <f t="shared" si="5"/>
        <v>564</v>
      </c>
      <c r="E32" s="88">
        <f t="shared" si="5"/>
        <v>94</v>
      </c>
      <c r="F32" s="88">
        <f t="shared" si="5"/>
        <v>19</v>
      </c>
      <c r="G32" s="88">
        <f t="shared" si="5"/>
        <v>17</v>
      </c>
      <c r="H32" s="88">
        <f t="shared" si="5"/>
        <v>11</v>
      </c>
      <c r="I32" s="88">
        <f t="shared" si="5"/>
        <v>10</v>
      </c>
      <c r="J32" s="88">
        <f t="shared" si="5"/>
        <v>7</v>
      </c>
      <c r="K32" s="88">
        <f t="shared" si="5"/>
        <v>12</v>
      </c>
    </row>
    <row r="33" spans="1:20" ht="15.6">
      <c r="A33" s="78">
        <f t="shared" si="1"/>
        <v>15</v>
      </c>
      <c r="B33" s="88">
        <f t="shared" ref="B33:K33" si="6">B18</f>
        <v>1513</v>
      </c>
      <c r="C33" s="88">
        <f t="shared" si="6"/>
        <v>1676</v>
      </c>
      <c r="D33" s="88">
        <f t="shared" si="6"/>
        <v>1396</v>
      </c>
      <c r="E33" s="88">
        <f t="shared" si="6"/>
        <v>653</v>
      </c>
      <c r="F33" s="88">
        <f t="shared" si="6"/>
        <v>119</v>
      </c>
      <c r="G33" s="88">
        <f t="shared" si="6"/>
        <v>17</v>
      </c>
      <c r="H33" s="88">
        <f t="shared" si="6"/>
        <v>8</v>
      </c>
      <c r="I33" s="88">
        <f t="shared" si="6"/>
        <v>16</v>
      </c>
      <c r="J33" s="88">
        <f t="shared" si="6"/>
        <v>23</v>
      </c>
      <c r="K33" s="88">
        <f t="shared" si="6"/>
        <v>107</v>
      </c>
    </row>
    <row r="34" spans="1:20" ht="15.6">
      <c r="A34" s="78">
        <f t="shared" si="1"/>
        <v>10</v>
      </c>
      <c r="B34" s="88">
        <f t="shared" ref="B34:K34" si="7">B19</f>
        <v>1289</v>
      </c>
      <c r="C34" s="88">
        <f t="shared" si="7"/>
        <v>1302</v>
      </c>
      <c r="D34" s="88">
        <f t="shared" si="7"/>
        <v>1489</v>
      </c>
      <c r="E34" s="88">
        <f t="shared" si="7"/>
        <v>1458</v>
      </c>
      <c r="F34" s="88">
        <f t="shared" si="7"/>
        <v>774</v>
      </c>
      <c r="G34" s="88">
        <f t="shared" si="7"/>
        <v>99</v>
      </c>
      <c r="H34" s="88">
        <f t="shared" si="7"/>
        <v>27</v>
      </c>
      <c r="I34" s="88">
        <f t="shared" si="7"/>
        <v>31</v>
      </c>
      <c r="J34" s="88">
        <f t="shared" si="7"/>
        <v>52</v>
      </c>
      <c r="K34" s="88">
        <f t="shared" si="7"/>
        <v>405</v>
      </c>
    </row>
    <row r="35" spans="1:20" ht="15.6">
      <c r="A35" s="78">
        <f t="shared" si="1"/>
        <v>5</v>
      </c>
      <c r="B35" s="88">
        <f t="shared" ref="B35:K35" si="8">B20</f>
        <v>972</v>
      </c>
      <c r="C35" s="88">
        <f t="shared" si="8"/>
        <v>628</v>
      </c>
      <c r="D35" s="88">
        <f t="shared" si="8"/>
        <v>859</v>
      </c>
      <c r="E35" s="88">
        <f t="shared" si="8"/>
        <v>1512</v>
      </c>
      <c r="F35" s="88">
        <f t="shared" si="8"/>
        <v>1592</v>
      </c>
      <c r="G35" s="88">
        <f t="shared" si="8"/>
        <v>775</v>
      </c>
      <c r="H35" s="88">
        <f t="shared" si="8"/>
        <v>141</v>
      </c>
      <c r="I35" s="88">
        <f t="shared" si="8"/>
        <v>43</v>
      </c>
      <c r="J35" s="88">
        <f t="shared" si="8"/>
        <v>281</v>
      </c>
      <c r="K35" s="88">
        <f t="shared" si="8"/>
        <v>770</v>
      </c>
    </row>
    <row r="36" spans="1:20" ht="15.6">
      <c r="A36" s="78">
        <f t="shared" si="1"/>
        <v>0</v>
      </c>
      <c r="B36" s="88">
        <f t="shared" ref="B36:K36" si="9">B21</f>
        <v>786</v>
      </c>
      <c r="C36" s="88">
        <f t="shared" si="9"/>
        <v>616</v>
      </c>
      <c r="D36" s="88">
        <f t="shared" si="9"/>
        <v>385</v>
      </c>
      <c r="E36" s="88">
        <f t="shared" si="9"/>
        <v>754</v>
      </c>
      <c r="F36" s="88">
        <f t="shared" si="9"/>
        <v>1407</v>
      </c>
      <c r="G36" s="88">
        <f t="shared" si="9"/>
        <v>1457</v>
      </c>
      <c r="H36" s="88">
        <f t="shared" si="9"/>
        <v>812</v>
      </c>
      <c r="I36" s="88">
        <f t="shared" si="9"/>
        <v>427</v>
      </c>
      <c r="J36" s="88">
        <f t="shared" si="9"/>
        <v>685</v>
      </c>
      <c r="K36" s="88">
        <f t="shared" si="9"/>
        <v>867</v>
      </c>
    </row>
    <row r="37" spans="1:20" ht="15.6">
      <c r="A37" s="78">
        <f t="shared" si="1"/>
        <v>-5</v>
      </c>
      <c r="B37" s="88">
        <f t="shared" ref="B37:K37" si="10">B22</f>
        <v>536</v>
      </c>
      <c r="C37" s="88">
        <f t="shared" si="10"/>
        <v>760</v>
      </c>
      <c r="D37" s="88">
        <f t="shared" si="10"/>
        <v>645</v>
      </c>
      <c r="E37" s="88">
        <f t="shared" si="10"/>
        <v>399</v>
      </c>
      <c r="F37" s="88">
        <f t="shared" si="10"/>
        <v>807</v>
      </c>
      <c r="G37" s="88">
        <f t="shared" si="10"/>
        <v>1637</v>
      </c>
      <c r="H37" s="88">
        <f t="shared" si="10"/>
        <v>1750</v>
      </c>
      <c r="I37" s="88">
        <f t="shared" si="10"/>
        <v>1368</v>
      </c>
      <c r="J37" s="88">
        <f t="shared" si="10"/>
        <v>1330</v>
      </c>
      <c r="K37" s="88">
        <f t="shared" si="10"/>
        <v>1081</v>
      </c>
    </row>
    <row r="38" spans="1:20" ht="15.6">
      <c r="A38" s="78">
        <f t="shared" si="1"/>
        <v>-10</v>
      </c>
      <c r="B38" s="88">
        <f t="shared" ref="B38:K38" si="11">B23</f>
        <v>146</v>
      </c>
      <c r="C38" s="88">
        <f t="shared" si="11"/>
        <v>527</v>
      </c>
      <c r="D38" s="88">
        <f t="shared" si="11"/>
        <v>837</v>
      </c>
      <c r="E38" s="88">
        <f t="shared" si="11"/>
        <v>698</v>
      </c>
      <c r="F38" s="88">
        <f t="shared" si="11"/>
        <v>601</v>
      </c>
      <c r="G38" s="88">
        <f t="shared" si="11"/>
        <v>1136</v>
      </c>
      <c r="H38" s="88">
        <f t="shared" si="11"/>
        <v>1933</v>
      </c>
      <c r="I38" s="88">
        <f t="shared" si="11"/>
        <v>2195</v>
      </c>
      <c r="J38" s="88">
        <f t="shared" si="11"/>
        <v>1973</v>
      </c>
      <c r="K38" s="88">
        <f t="shared" si="11"/>
        <v>1416</v>
      </c>
    </row>
    <row r="39" spans="1:20" ht="15.6">
      <c r="A39" s="78">
        <f t="shared" si="1"/>
        <v>-15</v>
      </c>
      <c r="B39" s="88">
        <f t="shared" ref="B39:K39" si="12">B24</f>
        <v>21</v>
      </c>
      <c r="C39" s="88">
        <f t="shared" si="12"/>
        <v>143</v>
      </c>
      <c r="D39" s="88">
        <f t="shared" si="12"/>
        <v>504</v>
      </c>
      <c r="E39" s="88">
        <f t="shared" si="12"/>
        <v>800</v>
      </c>
      <c r="F39" s="88">
        <f t="shared" si="12"/>
        <v>811</v>
      </c>
      <c r="G39" s="88">
        <f t="shared" si="12"/>
        <v>873</v>
      </c>
      <c r="H39" s="88">
        <f t="shared" si="12"/>
        <v>1446</v>
      </c>
      <c r="I39" s="88">
        <f t="shared" si="12"/>
        <v>1872</v>
      </c>
      <c r="J39" s="88">
        <f t="shared" si="12"/>
        <v>1857</v>
      </c>
      <c r="K39" s="88">
        <f t="shared" si="12"/>
        <v>1771</v>
      </c>
    </row>
    <row r="40" spans="1:20" ht="15.6">
      <c r="A40" s="78">
        <f t="shared" si="1"/>
        <v>-20</v>
      </c>
      <c r="B40" s="88">
        <f t="shared" ref="B40:K40" si="13">B25</f>
        <v>9</v>
      </c>
      <c r="C40" s="88">
        <f t="shared" si="13"/>
        <v>9</v>
      </c>
      <c r="D40" s="88">
        <f t="shared" si="13"/>
        <v>122</v>
      </c>
      <c r="E40" s="88">
        <f t="shared" si="13"/>
        <v>460</v>
      </c>
      <c r="F40" s="88">
        <f t="shared" si="13"/>
        <v>644</v>
      </c>
      <c r="G40" s="88">
        <f t="shared" si="13"/>
        <v>725</v>
      </c>
      <c r="H40" s="88">
        <f t="shared" si="13"/>
        <v>683</v>
      </c>
      <c r="I40" s="88">
        <f t="shared" si="13"/>
        <v>781</v>
      </c>
      <c r="J40" s="88">
        <f t="shared" si="13"/>
        <v>1046</v>
      </c>
      <c r="K40" s="88">
        <f t="shared" si="13"/>
        <v>1266</v>
      </c>
    </row>
    <row r="41" spans="1:20" ht="15.6">
      <c r="A41" s="78">
        <f t="shared" si="1"/>
        <v>-25</v>
      </c>
      <c r="B41" s="88">
        <f t="shared" ref="B41:K41" si="14">B26</f>
        <v>9</v>
      </c>
      <c r="C41" s="88">
        <f t="shared" si="14"/>
        <v>5</v>
      </c>
      <c r="D41" s="88">
        <f t="shared" si="14"/>
        <v>20</v>
      </c>
      <c r="E41" s="88">
        <f t="shared" si="14"/>
        <v>98</v>
      </c>
      <c r="F41" s="88">
        <f t="shared" si="14"/>
        <v>229</v>
      </c>
      <c r="G41" s="88">
        <f t="shared" si="14"/>
        <v>346</v>
      </c>
      <c r="H41" s="88">
        <f t="shared" si="14"/>
        <v>321</v>
      </c>
      <c r="I41" s="88">
        <f t="shared" si="14"/>
        <v>175</v>
      </c>
      <c r="J41" s="88">
        <f t="shared" si="14"/>
        <v>299</v>
      </c>
      <c r="K41" s="88">
        <f t="shared" si="14"/>
        <v>585</v>
      </c>
    </row>
    <row r="42" spans="1:20" ht="15.6">
      <c r="A42" s="78">
        <f t="shared" si="1"/>
        <v>-30</v>
      </c>
      <c r="B42" s="88">
        <f t="shared" ref="B42:K42" si="15">B27</f>
        <v>9</v>
      </c>
      <c r="C42" s="88">
        <f t="shared" si="15"/>
        <v>10</v>
      </c>
      <c r="D42" s="88">
        <f t="shared" si="15"/>
        <v>10</v>
      </c>
      <c r="E42" s="88">
        <f t="shared" si="15"/>
        <v>20</v>
      </c>
      <c r="F42" s="88">
        <f t="shared" si="15"/>
        <v>48</v>
      </c>
      <c r="G42" s="88">
        <f t="shared" si="15"/>
        <v>80</v>
      </c>
      <c r="H42" s="88">
        <f t="shared" si="15"/>
        <v>64</v>
      </c>
      <c r="I42" s="88">
        <f t="shared" si="15"/>
        <v>38</v>
      </c>
      <c r="J42" s="88">
        <f t="shared" si="15"/>
        <v>31</v>
      </c>
      <c r="K42" s="88">
        <f t="shared" si="15"/>
        <v>96</v>
      </c>
    </row>
    <row r="45" spans="1:20" ht="13.8">
      <c r="F45" s="1" t="s">
        <v>177</v>
      </c>
      <c r="G45" s="42">
        <v>14.32</v>
      </c>
      <c r="H45" s="42">
        <v>0.82</v>
      </c>
      <c r="I45" s="1" t="s">
        <v>29</v>
      </c>
    </row>
    <row r="46" spans="1:20" ht="13.2">
      <c r="A46" s="1" t="s">
        <v>251</v>
      </c>
    </row>
    <row r="47" spans="1:20" ht="13.2">
      <c r="A47" s="1" t="s">
        <v>188</v>
      </c>
      <c r="F47" s="1" t="s">
        <v>182</v>
      </c>
      <c r="I47" s="1" t="s">
        <v>183</v>
      </c>
      <c r="J47" s="1" t="s">
        <v>184</v>
      </c>
    </row>
    <row r="48" spans="1:20" ht="13.2">
      <c r="A48" s="1" t="s">
        <v>252</v>
      </c>
      <c r="F48" s="1" t="s">
        <v>186</v>
      </c>
      <c r="G48" s="57">
        <v>15.31</v>
      </c>
      <c r="H48" s="57">
        <v>0.16</v>
      </c>
      <c r="I48" s="1">
        <v>2</v>
      </c>
      <c r="J48" s="82">
        <f t="shared" ref="J48:J49" si="16">ROUND(G48,I48)</f>
        <v>15.31</v>
      </c>
      <c r="K48" s="28">
        <f t="shared" ref="K48:K49" si="17">ROUND(H48,I48)</f>
        <v>0.16</v>
      </c>
      <c r="L48" s="1">
        <f t="shared" ref="L48:M48" si="18">J48*PI()/180</f>
        <v>0.26720990848033188</v>
      </c>
      <c r="M48" s="1">
        <f t="shared" si="18"/>
        <v>2.7925268031909274E-3</v>
      </c>
      <c r="N48" s="1" t="s">
        <v>187</v>
      </c>
      <c r="O48" s="1">
        <f>-$G$45*SIN(L48)*(1+SIN(L49) +COS(L49))/(SIN(L49)*SIN(L48) -(1+COS(L49))*(1+COS(L48)) )</f>
        <v>1.9332673519099699</v>
      </c>
      <c r="P48" s="1">
        <f t="shared" ref="P48:P49" si="19">R48+S48+T48</f>
        <v>0.13478513084892185</v>
      </c>
      <c r="R48" s="1">
        <f>ABS(SIN(L48)*(1+SIN(L49) +COS(L49))/(SIN(L49)*SIN(L48) -(1+COS(L49))*(1+COS(L48)) ) ) *H45</f>
        <v>0.11070385674344797</v>
      </c>
      <c r="S48" s="1">
        <f>ABS(G45*(1+SIN(L49) +COS(L49)) *    ( COS(L48)*(SIN(L49)*SIN(L48) -(1+COS(L49))*(1+COS(L48)) ) -SIN(L48)*(SIN(L49)*COS(L48) +(1+COS(L49))*SIN(L48) )  )/   (SIN(L49)*SIN(L48) -(1+COS(L49))*(1+COS(L48)) )^2 )*M48</f>
        <v>2.0457216359931717E-2</v>
      </c>
      <c r="T48" s="1">
        <f>ABS(  G45*SIN(L48)*  (   (COS(L49) -SIN(L49))*(SIN(L49)*SIN(L48) -(1+COS(L49))*(1+COS(L48)) ) -(1+SIN(L49) +COS(L49))*(COS(L49)*SIN(L48) +SIN(L49)*(1+COS(L48)) )  ) / (SIN(L49)*SIN(L48) -(1+COS(L49))*(1+COS(L48)) )^2   )*M49</f>
        <v>3.6240577455421679E-3</v>
      </c>
    </row>
    <row r="49" spans="1:20" ht="13.2">
      <c r="A49" s="1" t="s">
        <v>253</v>
      </c>
      <c r="F49" s="1" t="s">
        <v>189</v>
      </c>
      <c r="G49" s="57">
        <v>0.45</v>
      </c>
      <c r="H49" s="57">
        <v>0.19</v>
      </c>
      <c r="I49" s="1">
        <v>2</v>
      </c>
      <c r="J49" s="82">
        <f t="shared" si="16"/>
        <v>0.45</v>
      </c>
      <c r="K49" s="28">
        <f t="shared" si="17"/>
        <v>0.19</v>
      </c>
      <c r="L49" s="1">
        <f t="shared" ref="L49:M49" si="20">J49*PI()/180</f>
        <v>7.8539816339744835E-3</v>
      </c>
      <c r="M49" s="1">
        <f t="shared" si="20"/>
        <v>3.3161255787892258E-3</v>
      </c>
      <c r="N49" s="1" t="s">
        <v>190</v>
      </c>
      <c r="O49" s="1">
        <f>-G45*SIN(L49)*(1+SIN(L48) +COS(L48))/(SIN(L49)*SIN(L48) -(1+COS(L49))*(1+COS(L48)) )</f>
        <v>6.3826759733612112E-2</v>
      </c>
      <c r="P49" s="1">
        <f t="shared" si="19"/>
        <v>3.0698805107861424E-2</v>
      </c>
      <c r="R49" s="1">
        <f>ABS(SIN(L49)*(1+SIN(L48) +COS(L48))/(SIN(L48)*SIN(L49) -(1+COS(L48))*(1+COS(L49)) ) ) *H45</f>
        <v>3.6548842864219228E-3</v>
      </c>
      <c r="S49" s="1">
        <f>ABS(G45*(1+SIN(L48) +COS(L48)) *    ( COS(L49)*(SIN(L48)*SIN(L49) -(1+COS(L48))*(1+COS(L49)) ) -SIN(L49)*(SIN(L48)*COS(L49) +(1+COS(L48))*SIN(L49) )  )/   (SIN(L48)*SIN(L49) -(1+COS(L48))*(1+COS(L49)) )^2 )*M49</f>
        <v>2.696358510769328E-2</v>
      </c>
      <c r="T49" s="1">
        <f>ABS(  G45*SIN(L49)*  (   (COS(L48) -SIN(L48))*(SIN(L48)*SIN(L49) -(1+COS(L48))*(1+COS(L49)) ) -(1+SIN(L48) +COS(L48))*(COS(L48)*SIN(L49) +SIN(L48)*(1+COS(L49)) )  ) / (SIN(L48)*SIN(L49) -(1+COS(L48))*(1+COS(L49)) )^2   )*M48</f>
        <v>8.0335713746223592E-5</v>
      </c>
    </row>
    <row r="50" spans="1:20" ht="13.2">
      <c r="A50" s="1" t="s">
        <v>254</v>
      </c>
      <c r="L50" s="56" t="s">
        <v>117</v>
      </c>
      <c r="M50" s="57">
        <v>2</v>
      </c>
      <c r="N50" s="1" t="s">
        <v>95</v>
      </c>
      <c r="O50" s="36">
        <f t="shared" ref="O50:P50" si="21">ROUND(O48,$M50)</f>
        <v>1.93</v>
      </c>
      <c r="P50" s="36">
        <f t="shared" si="21"/>
        <v>0.13</v>
      </c>
    </row>
    <row r="51" spans="1:20" ht="13.2">
      <c r="A51" s="1" t="s">
        <v>255</v>
      </c>
      <c r="D51" s="1" t="s">
        <v>256</v>
      </c>
      <c r="M51" s="1">
        <v>3</v>
      </c>
      <c r="N51" s="1" t="s">
        <v>141</v>
      </c>
      <c r="O51" s="47">
        <f t="shared" ref="O51:P51" si="22">ROUND(O49,$M51)</f>
        <v>6.4000000000000001E-2</v>
      </c>
      <c r="P51" s="47">
        <f t="shared" si="22"/>
        <v>3.1E-2</v>
      </c>
    </row>
    <row r="52" spans="1:20" ht="13.2">
      <c r="A52" s="1" t="s">
        <v>257</v>
      </c>
      <c r="F52" s="1" t="s">
        <v>196</v>
      </c>
      <c r="I52" s="1" t="s">
        <v>183</v>
      </c>
      <c r="J52" s="1" t="s">
        <v>184</v>
      </c>
    </row>
    <row r="53" spans="1:20" ht="13.2">
      <c r="A53" s="1" t="s">
        <v>258</v>
      </c>
      <c r="D53" s="1" t="s">
        <v>256</v>
      </c>
      <c r="F53" s="1" t="s">
        <v>186</v>
      </c>
      <c r="G53" s="1">
        <v>1.03</v>
      </c>
      <c r="H53" s="1">
        <v>0.47</v>
      </c>
      <c r="I53" s="1">
        <v>2</v>
      </c>
      <c r="J53" s="82">
        <f t="shared" ref="J53:J54" si="23">ROUND(G53,I53)</f>
        <v>1.03</v>
      </c>
      <c r="K53" s="28">
        <f t="shared" ref="K53:K54" si="24">ROUND(H53,I53)</f>
        <v>0.47</v>
      </c>
      <c r="L53" s="1">
        <f t="shared" ref="L53:M53" si="25">J53*PI()/180</f>
        <v>1.7976891295541593E-2</v>
      </c>
      <c r="M53" s="1">
        <f t="shared" si="25"/>
        <v>8.2030474843733485E-3</v>
      </c>
      <c r="N53" s="1" t="s">
        <v>187</v>
      </c>
      <c r="O53" s="1">
        <f>-G45*SIN(L53)*(1+SIN(L54) +COS(L54))/(SIN(L54)*SIN(L53) -(1+COS(L54))*(1+COS(L53)) )</f>
        <v>0.10993462099356552</v>
      </c>
      <c r="P53" s="1">
        <f t="shared" ref="P53:P54" si="26">R53+S53+T53</f>
        <v>5.6858619236020896E-2</v>
      </c>
      <c r="R53" s="1">
        <f>ABS(SIN(L53)*(1+SIN(L54) +COS(L54))/(SIN(L54)*SIN(L53) -(1+COS(L54))*(1+COS(L53)) ) ) *H45</f>
        <v>6.2951389116427175E-3</v>
      </c>
      <c r="S53" s="1">
        <f>ABS(G45*(1+SIN(L54) +COS(L54)) *    ( COS(L53)*(SIN(L54)*SIN(L53) -(1+COS(L54))*(1+COS(L53)) ) -SIN(L53)*(SIN(L54)*COS(L53) +(1+COS(L54))*SIN(L53) )  )/   (SIN(L54)*SIN(L53) -(1+COS(L54))*(1+COS(L53)) )^2 )*M53</f>
        <v>5.0101826300419379E-2</v>
      </c>
      <c r="T53" s="1">
        <f>ABS(  G45*SIN(L53)*  (   (COS(L54) -SIN(L54))*(SIN(L54)*SIN(L53) -(1+COS(L54))*(1+COS(L53)) ) -(1+SIN(L54) +COS(L54))*(COS(L54)*SIN(L53) +SIN(L54)*(1+COS(L53)) )  ) / (SIN(L54)*SIN(L53) -(1+COS(L54))*(1+COS(L53)) )^2   )*M54</f>
        <v>4.6165402395879684E-4</v>
      </c>
    </row>
    <row r="54" spans="1:20" ht="13.2">
      <c r="A54" s="1" t="s">
        <v>259</v>
      </c>
      <c r="F54" s="1" t="s">
        <v>189</v>
      </c>
      <c r="G54" s="1">
        <v>-16.48</v>
      </c>
      <c r="H54" s="36">
        <v>0.4</v>
      </c>
      <c r="I54" s="1">
        <v>2</v>
      </c>
      <c r="J54" s="82">
        <f t="shared" si="23"/>
        <v>-16.48</v>
      </c>
      <c r="K54" s="18">
        <f t="shared" si="24"/>
        <v>0.4</v>
      </c>
      <c r="L54" s="1">
        <f t="shared" ref="L54:M54" si="27">J54*PI()/180</f>
        <v>-0.28763026072866549</v>
      </c>
      <c r="M54" s="1">
        <f t="shared" si="27"/>
        <v>6.9813170079773184E-3</v>
      </c>
      <c r="N54" s="1" t="s">
        <v>190</v>
      </c>
      <c r="O54" s="1">
        <f>-G45*SIN(L54)*(1+SIN(L53) +COS(L53))/(SIN(L54)*SIN(L53) -(1+COS(L54))*(1+COS(L53)) )</f>
        <v>-2.0896695661096909</v>
      </c>
      <c r="P54" s="1">
        <f t="shared" si="26"/>
        <v>0.17827478677621517</v>
      </c>
      <c r="R54" s="1">
        <f>ABS(SIN(L54)*(1+SIN(L53) +COS(L53))/(SIN(L53)*SIN(L54) -(1+COS(L53))*(1+COS(L54)) ) ) *H45</f>
        <v>0.11965984945600183</v>
      </c>
      <c r="S54" s="1">
        <f>ABS(G45*(1+SIN(L53) +COS(L53)) *    ( COS(L54)*(SIN(L53)*SIN(L54) -(1+COS(L53))*(1+COS(L54)) ) -SIN(L54)*(SIN(L53)*COS(L54) +(1+COS(L53))*SIN(L54) )  )/   (SIN(L53)*SIN(L54) -(1+COS(L53))*(1+COS(L54)) )^2 )*M54</f>
        <v>5.1359446261079765E-2</v>
      </c>
      <c r="T54" s="1">
        <f>ABS(  G45*SIN(L54)*  (   (COS(L53) -SIN(L53))*(SIN(L53)*SIN(L54) -(1+COS(L53))*(1+COS(L54)) ) -(1+SIN(L53) +COS(L53))*(COS(L53)*SIN(L54) +SIN(L53)*(1+COS(L54)) )  ) / (SIN(L53)*SIN(L54) -(1+COS(L53))*(1+COS(L54)) )^2   )*M53</f>
        <v>7.2554910591335507E-3</v>
      </c>
    </row>
    <row r="55" spans="1:20" ht="13.2">
      <c r="A55" s="1" t="s">
        <v>260</v>
      </c>
      <c r="L55" s="56" t="s">
        <v>117</v>
      </c>
      <c r="M55" s="57">
        <v>3</v>
      </c>
      <c r="N55" s="1" t="s">
        <v>95</v>
      </c>
      <c r="O55" s="47">
        <f t="shared" ref="O55:P55" si="28">ROUND(O53,$M55)</f>
        <v>0.11</v>
      </c>
      <c r="P55" s="47">
        <f t="shared" si="28"/>
        <v>5.7000000000000002E-2</v>
      </c>
    </row>
    <row r="56" spans="1:20" ht="13.2">
      <c r="A56" s="1" t="s">
        <v>261</v>
      </c>
      <c r="D56" s="1" t="s">
        <v>262</v>
      </c>
      <c r="G56" s="57"/>
      <c r="H56" s="57"/>
      <c r="M56" s="1">
        <v>2</v>
      </c>
      <c r="N56" s="1" t="s">
        <v>141</v>
      </c>
      <c r="O56" s="36">
        <f t="shared" ref="O56:P56" si="29">ROUND(O54,$M56)</f>
        <v>-2.09</v>
      </c>
      <c r="P56" s="36">
        <f t="shared" si="29"/>
        <v>0.18</v>
      </c>
    </row>
    <row r="57" spans="1:20" ht="13.2">
      <c r="A57" s="1" t="s">
        <v>263</v>
      </c>
    </row>
    <row r="58" spans="1:20" ht="13.2">
      <c r="A58" s="1" t="s">
        <v>264</v>
      </c>
      <c r="D58" s="1" t="s">
        <v>262</v>
      </c>
    </row>
    <row r="59" spans="1:20" ht="13.2">
      <c r="A59" s="1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F8F-A011-42A6-B769-977422387FCD}">
  <dimension ref="A1:C28"/>
  <sheetViews>
    <sheetView tabSelected="1" workbookViewId="0">
      <selection activeCell="E14" sqref="E14"/>
    </sheetView>
  </sheetViews>
  <sheetFormatPr defaultRowHeight="13.2"/>
  <sheetData>
    <row r="1" spans="1:3">
      <c r="A1" s="89" t="s">
        <v>53</v>
      </c>
      <c r="B1" s="89" t="s">
        <v>134</v>
      </c>
      <c r="C1" s="89" t="s">
        <v>44</v>
      </c>
    </row>
    <row r="2" spans="1:3">
      <c r="A2" s="90">
        <v>-20</v>
      </c>
      <c r="B2" s="90">
        <v>0.85</v>
      </c>
      <c r="C2" s="90">
        <v>8.7999999999999995E-2</v>
      </c>
    </row>
    <row r="3" spans="1:3">
      <c r="A3" s="90">
        <v>-15</v>
      </c>
      <c r="B3" s="90">
        <v>2.97</v>
      </c>
      <c r="C3" s="90">
        <v>0.25</v>
      </c>
    </row>
    <row r="4" spans="1:3">
      <c r="A4" s="90">
        <v>-12</v>
      </c>
      <c r="B4" s="90">
        <v>18.28</v>
      </c>
      <c r="C4" s="90">
        <v>0.55000000000000004</v>
      </c>
    </row>
    <row r="5" spans="1:3">
      <c r="A5" s="90">
        <v>-10</v>
      </c>
      <c r="B5" s="90">
        <v>35.1</v>
      </c>
      <c r="C5" s="90">
        <v>1.3</v>
      </c>
    </row>
    <row r="6" spans="1:3">
      <c r="A6" s="90">
        <v>-9</v>
      </c>
      <c r="B6" s="90">
        <v>44.7</v>
      </c>
      <c r="C6" s="90">
        <v>1.5</v>
      </c>
    </row>
    <row r="7" spans="1:3">
      <c r="A7" s="90">
        <v>-8</v>
      </c>
      <c r="B7" s="90">
        <v>53</v>
      </c>
      <c r="C7" s="90">
        <v>1.7</v>
      </c>
    </row>
    <row r="8" spans="1:3">
      <c r="A8" s="90">
        <v>-7</v>
      </c>
      <c r="B8" s="90">
        <v>63</v>
      </c>
      <c r="C8" s="90">
        <v>1.8</v>
      </c>
    </row>
    <row r="9" spans="1:3">
      <c r="A9" s="90">
        <v>-6</v>
      </c>
      <c r="B9" s="90">
        <v>71.099999999999994</v>
      </c>
      <c r="C9" s="90">
        <v>1.9</v>
      </c>
    </row>
    <row r="10" spans="1:3">
      <c r="A10" s="90">
        <v>-5</v>
      </c>
      <c r="B10" s="90">
        <v>75.900000000000006</v>
      </c>
      <c r="C10" s="90">
        <v>2</v>
      </c>
    </row>
    <row r="11" spans="1:3">
      <c r="A11" s="90">
        <v>-4</v>
      </c>
      <c r="B11" s="90">
        <v>87.2</v>
      </c>
      <c r="C11" s="90">
        <v>2.1</v>
      </c>
    </row>
    <row r="12" spans="1:3">
      <c r="A12" s="90">
        <v>-3</v>
      </c>
      <c r="B12" s="90">
        <v>91.25</v>
      </c>
      <c r="C12" s="90">
        <v>2.2000000000000002</v>
      </c>
    </row>
    <row r="13" spans="1:3">
      <c r="A13" s="90">
        <v>-2</v>
      </c>
      <c r="B13" s="90">
        <v>98.9</v>
      </c>
      <c r="C13" s="90">
        <v>2.2000000000000002</v>
      </c>
    </row>
    <row r="14" spans="1:3">
      <c r="A14" s="90">
        <v>-1</v>
      </c>
      <c r="B14" s="90">
        <v>93.8</v>
      </c>
      <c r="C14" s="90">
        <v>2.2000000000000002</v>
      </c>
    </row>
    <row r="15" spans="1:3">
      <c r="A15" s="90">
        <v>0</v>
      </c>
      <c r="B15" s="90">
        <v>91.4</v>
      </c>
      <c r="C15" s="90">
        <v>2.2000000000000002</v>
      </c>
    </row>
    <row r="16" spans="1:3">
      <c r="A16" s="90">
        <v>1</v>
      </c>
      <c r="B16" s="90">
        <v>84.9</v>
      </c>
      <c r="C16" s="90">
        <v>2.1</v>
      </c>
    </row>
    <row r="17" spans="1:3">
      <c r="A17" s="90">
        <v>2</v>
      </c>
      <c r="B17" s="90">
        <v>78.099999999999994</v>
      </c>
      <c r="C17" s="90">
        <v>2</v>
      </c>
    </row>
    <row r="18" spans="1:3">
      <c r="A18" s="90">
        <v>3</v>
      </c>
      <c r="B18" s="90">
        <v>65.900000000000006</v>
      </c>
      <c r="C18" s="90">
        <v>1.8</v>
      </c>
    </row>
    <row r="19" spans="1:3">
      <c r="A19" s="90">
        <v>4</v>
      </c>
      <c r="B19" s="90">
        <v>61.6</v>
      </c>
      <c r="C19" s="90">
        <v>1.8</v>
      </c>
    </row>
    <row r="20" spans="1:3">
      <c r="A20" s="90">
        <v>5</v>
      </c>
      <c r="B20" s="90">
        <v>52.1</v>
      </c>
      <c r="C20" s="90">
        <v>1.6</v>
      </c>
    </row>
    <row r="21" spans="1:3">
      <c r="A21" s="90">
        <v>6</v>
      </c>
      <c r="B21" s="90">
        <v>44.1</v>
      </c>
      <c r="C21" s="90">
        <v>1.5</v>
      </c>
    </row>
    <row r="22" spans="1:3">
      <c r="A22" s="90">
        <v>7</v>
      </c>
      <c r="B22" s="90">
        <v>35.299999999999997</v>
      </c>
      <c r="C22" s="90">
        <v>1.4</v>
      </c>
    </row>
    <row r="23" spans="1:3">
      <c r="A23" s="90">
        <v>8</v>
      </c>
      <c r="B23" s="90">
        <v>26.6</v>
      </c>
      <c r="C23" s="90">
        <v>1.2</v>
      </c>
    </row>
    <row r="24" spans="1:3">
      <c r="A24" s="90">
        <v>9</v>
      </c>
      <c r="B24" s="90">
        <v>20.9</v>
      </c>
      <c r="C24" s="90">
        <v>1</v>
      </c>
    </row>
    <row r="25" spans="1:3">
      <c r="A25" s="90">
        <v>10</v>
      </c>
      <c r="B25" s="90">
        <v>15.8</v>
      </c>
      <c r="C25" s="90">
        <v>0.9</v>
      </c>
    </row>
    <row r="26" spans="1:3">
      <c r="A26" s="90">
        <v>12</v>
      </c>
      <c r="B26" s="90">
        <v>10.199999999999999</v>
      </c>
      <c r="C26" s="90">
        <v>0.3</v>
      </c>
    </row>
    <row r="27" spans="1:3">
      <c r="A27" s="90">
        <v>15</v>
      </c>
      <c r="B27" s="90">
        <v>1.1000000000000001</v>
      </c>
      <c r="C27" s="90">
        <v>0.2</v>
      </c>
    </row>
    <row r="28" spans="1:3">
      <c r="A28" s="90">
        <v>20</v>
      </c>
      <c r="B28" s="90">
        <v>0.6</v>
      </c>
      <c r="C28" s="90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51"/>
  <sheetViews>
    <sheetView workbookViewId="0"/>
  </sheetViews>
  <sheetFormatPr defaultColWidth="12.6640625" defaultRowHeight="15.75" customHeight="1"/>
  <cols>
    <col min="1" max="1" width="21" customWidth="1"/>
    <col min="2" max="2" width="23" customWidth="1"/>
    <col min="3" max="3" width="22.44140625" customWidth="1"/>
    <col min="4" max="4" width="25" customWidth="1"/>
    <col min="5" max="5" width="23.33203125" customWidth="1"/>
    <col min="6" max="6" width="20.77734375" customWidth="1"/>
    <col min="7" max="7" width="22.44140625" customWidth="1"/>
    <col min="8" max="8" width="17.33203125" customWidth="1"/>
  </cols>
  <sheetData>
    <row r="2" spans="1:8">
      <c r="A2" s="1" t="s">
        <v>0</v>
      </c>
      <c r="B2" s="1">
        <f>2*SQRT(2*LN(2))</f>
        <v>2.3548200450309493</v>
      </c>
    </row>
    <row r="3" spans="1:8" ht="15.75" customHeight="1">
      <c r="D3" s="1">
        <f>300/121264*(28.07/B2/0.1)^2</f>
        <v>35.15270440391209</v>
      </c>
      <c r="G3" s="14" t="s">
        <v>27</v>
      </c>
    </row>
    <row r="4" spans="1:8" ht="15.75" customHeight="1">
      <c r="A4" s="2" t="s">
        <v>1</v>
      </c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3" t="s">
        <v>2</v>
      </c>
      <c r="B7" s="4" t="s">
        <v>3</v>
      </c>
      <c r="C7" s="3" t="s">
        <v>4</v>
      </c>
      <c r="D7" s="4" t="s">
        <v>5</v>
      </c>
      <c r="E7" s="3" t="s">
        <v>6</v>
      </c>
      <c r="F7" s="4" t="s">
        <v>7</v>
      </c>
      <c r="G7" s="5"/>
      <c r="H7" s="5"/>
    </row>
    <row r="8" spans="1:8">
      <c r="A8" s="6">
        <v>300</v>
      </c>
      <c r="B8" s="7"/>
      <c r="C8" s="6"/>
      <c r="D8" s="7"/>
      <c r="E8" s="6"/>
      <c r="F8" s="7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3" t="s">
        <v>9</v>
      </c>
      <c r="B10" s="4" t="s">
        <v>10</v>
      </c>
      <c r="C10" s="3" t="s">
        <v>11</v>
      </c>
      <c r="D10" s="4" t="s">
        <v>12</v>
      </c>
      <c r="E10" s="3" t="s">
        <v>13</v>
      </c>
      <c r="F10" s="4" t="s">
        <v>14</v>
      </c>
      <c r="G10" s="3" t="s">
        <v>15</v>
      </c>
      <c r="H10" s="4" t="s">
        <v>16</v>
      </c>
    </row>
    <row r="11" spans="1:8">
      <c r="A11" s="6">
        <v>95641</v>
      </c>
      <c r="B11" s="9">
        <f>SQRT(A11)</f>
        <v>309.25879130592227</v>
      </c>
      <c r="C11" s="6">
        <v>73234</v>
      </c>
      <c r="D11" s="7">
        <v>585</v>
      </c>
      <c r="E11" s="6">
        <v>24.47</v>
      </c>
      <c r="F11" s="7"/>
      <c r="G11" s="6">
        <v>250.65</v>
      </c>
      <c r="H11" s="7">
        <f>A14/SQRT(A11)</f>
        <v>3.3601153851256477E-2</v>
      </c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3" t="s">
        <v>17</v>
      </c>
      <c r="B13" s="10" t="s">
        <v>18</v>
      </c>
      <c r="C13" s="5"/>
      <c r="D13" s="5"/>
      <c r="E13" s="5"/>
      <c r="F13" s="5"/>
      <c r="G13" s="5"/>
      <c r="H13" s="5"/>
    </row>
    <row r="14" spans="1:8">
      <c r="A14" s="6">
        <f t="shared" ref="A14:B14" si="0">E11/$B$2</f>
        <v>10.391452226523914</v>
      </c>
      <c r="B14" s="7">
        <f t="shared" si="0"/>
        <v>0</v>
      </c>
      <c r="C14" s="5"/>
      <c r="D14" s="5" t="s">
        <v>28</v>
      </c>
      <c r="E14" s="5">
        <v>5.86</v>
      </c>
      <c r="F14" s="5">
        <f>0.02/10</f>
        <v>2E-3</v>
      </c>
      <c r="G14" s="5" t="s">
        <v>29</v>
      </c>
      <c r="H14" s="5"/>
    </row>
    <row r="17" spans="1:8" ht="17.399999999999999">
      <c r="A17" s="2" t="s">
        <v>30</v>
      </c>
    </row>
    <row r="19" spans="1:8" ht="13.8">
      <c r="B19" s="11" t="s">
        <v>19</v>
      </c>
      <c r="C19" s="12" t="s">
        <v>20</v>
      </c>
      <c r="D19" s="11" t="s">
        <v>21</v>
      </c>
      <c r="E19" s="12" t="s">
        <v>22</v>
      </c>
    </row>
    <row r="20" spans="1:8" ht="13.2">
      <c r="B20" s="13">
        <f>G11-3*A14</f>
        <v>219.47564332042828</v>
      </c>
      <c r="C20" s="13">
        <f>SQRT(H11^2+9*B14^2)</f>
        <v>3.3601153851256477E-2</v>
      </c>
      <c r="D20" s="13">
        <f>G11+3*A14</f>
        <v>281.82435667957174</v>
      </c>
      <c r="E20" s="13">
        <f>SQRT(H11^2+9*B14^2)</f>
        <v>3.3601153851256477E-2</v>
      </c>
    </row>
    <row r="21" spans="1:8" ht="13.2">
      <c r="B21" s="1">
        <v>1.91</v>
      </c>
      <c r="C21" s="1">
        <v>0.01</v>
      </c>
      <c r="D21" s="1">
        <v>2.38</v>
      </c>
      <c r="E21" s="1">
        <v>0.01</v>
      </c>
    </row>
    <row r="22" spans="1:8" ht="17.399999999999999">
      <c r="A22" s="2" t="s">
        <v>31</v>
      </c>
    </row>
    <row r="24" spans="1:8" ht="13.2">
      <c r="B24" s="11" t="s">
        <v>32</v>
      </c>
      <c r="C24" s="11" t="s">
        <v>33</v>
      </c>
      <c r="D24" s="11" t="s">
        <v>34</v>
      </c>
      <c r="E24" s="11" t="s">
        <v>35</v>
      </c>
    </row>
    <row r="25" spans="1:8" ht="13.2">
      <c r="B25" s="13">
        <v>17</v>
      </c>
      <c r="C25" s="13">
        <v>1</v>
      </c>
      <c r="D25" s="13">
        <v>24</v>
      </c>
      <c r="E25" s="13">
        <v>1</v>
      </c>
    </row>
    <row r="30" spans="1:8" ht="17.399999999999999">
      <c r="A30" s="2" t="s">
        <v>26</v>
      </c>
    </row>
    <row r="32" spans="1:8" ht="13.2">
      <c r="A32" s="5"/>
      <c r="B32" s="5"/>
      <c r="C32" s="5"/>
      <c r="D32" s="5"/>
      <c r="E32" s="5"/>
      <c r="F32" s="5"/>
      <c r="G32" s="5"/>
      <c r="H32" s="5"/>
    </row>
    <row r="33" spans="1:8" ht="13.2">
      <c r="A33" s="3" t="s">
        <v>2</v>
      </c>
      <c r="B33" s="4" t="s">
        <v>3</v>
      </c>
      <c r="C33" s="3" t="s">
        <v>4</v>
      </c>
      <c r="D33" s="4" t="s">
        <v>5</v>
      </c>
      <c r="E33" s="3" t="s">
        <v>6</v>
      </c>
      <c r="F33" s="4" t="s">
        <v>7</v>
      </c>
      <c r="G33" s="5"/>
      <c r="H33" s="5"/>
    </row>
    <row r="34" spans="1:8" ht="13.2">
      <c r="A34" s="6">
        <v>300</v>
      </c>
      <c r="B34" s="7"/>
      <c r="C34" s="6">
        <v>210</v>
      </c>
      <c r="D34" s="7"/>
      <c r="E34" s="6">
        <v>282</v>
      </c>
      <c r="F34" s="7"/>
      <c r="G34" s="5"/>
      <c r="H34" s="5"/>
    </row>
    <row r="35" spans="1:8" ht="13.2">
      <c r="A35" s="5"/>
      <c r="B35" s="5"/>
      <c r="C35" s="5"/>
      <c r="D35" s="5"/>
      <c r="E35" s="5"/>
      <c r="F35" s="5"/>
      <c r="G35" s="5"/>
      <c r="H35" s="5"/>
    </row>
    <row r="36" spans="1:8" ht="13.2">
      <c r="A36" s="3" t="s">
        <v>9</v>
      </c>
      <c r="B36" s="4" t="s">
        <v>10</v>
      </c>
      <c r="C36" s="3" t="s">
        <v>11</v>
      </c>
      <c r="D36" s="4" t="s">
        <v>12</v>
      </c>
      <c r="E36" s="3" t="s">
        <v>13</v>
      </c>
      <c r="F36" s="4" t="s">
        <v>14</v>
      </c>
      <c r="G36" s="3" t="s">
        <v>15</v>
      </c>
      <c r="H36" s="4" t="s">
        <v>16</v>
      </c>
    </row>
    <row r="37" spans="1:8" ht="13.2">
      <c r="A37" s="6">
        <v>119069</v>
      </c>
      <c r="B37" s="7">
        <f>SQRT(A37)</f>
        <v>345.0637622237374</v>
      </c>
      <c r="C37" s="6">
        <v>96914</v>
      </c>
      <c r="D37" s="7">
        <v>623</v>
      </c>
      <c r="E37" s="6">
        <v>28.02</v>
      </c>
      <c r="F37" s="7"/>
      <c r="G37" s="6">
        <v>249.62</v>
      </c>
      <c r="H37" s="7">
        <f>A40/SQRT(A37)</f>
        <v>3.4483477329966351E-2</v>
      </c>
    </row>
    <row r="38" spans="1:8" ht="13.2">
      <c r="A38" s="5"/>
      <c r="B38" s="5"/>
      <c r="C38" s="5"/>
      <c r="D38" s="5"/>
      <c r="E38" s="5"/>
      <c r="F38" s="5"/>
      <c r="G38" s="5"/>
      <c r="H38" s="5"/>
    </row>
    <row r="39" spans="1:8" ht="13.8">
      <c r="A39" s="3" t="s">
        <v>17</v>
      </c>
      <c r="B39" s="10" t="s">
        <v>18</v>
      </c>
      <c r="C39" s="5"/>
      <c r="D39" s="5"/>
      <c r="E39" s="5"/>
      <c r="F39" s="5"/>
      <c r="G39" s="5"/>
      <c r="H39" s="5"/>
    </row>
    <row r="40" spans="1:8" ht="13.2">
      <c r="A40" s="6">
        <f t="shared" ref="A40:B40" si="1">E37/$B$2</f>
        <v>11.898998422035147</v>
      </c>
      <c r="B40" s="7">
        <f t="shared" si="1"/>
        <v>0</v>
      </c>
      <c r="C40" s="5"/>
      <c r="D40" s="5"/>
      <c r="E40" s="5"/>
      <c r="F40" s="5"/>
      <c r="G40" s="5"/>
      <c r="H40" s="5"/>
    </row>
    <row r="43" spans="1:8" ht="17.399999999999999">
      <c r="A43" s="2" t="s">
        <v>36</v>
      </c>
    </row>
    <row r="45" spans="1:8" ht="13.8">
      <c r="B45" s="11" t="s">
        <v>19</v>
      </c>
      <c r="C45" s="12" t="s">
        <v>20</v>
      </c>
      <c r="D45" s="11" t="s">
        <v>21</v>
      </c>
      <c r="E45" s="12" t="s">
        <v>22</v>
      </c>
    </row>
    <row r="46" spans="1:8" ht="13.2">
      <c r="B46" s="13">
        <f>G37-3*A40</f>
        <v>213.92300473389457</v>
      </c>
      <c r="C46" s="13">
        <f>SQRT(H37^2+9*B40^2)</f>
        <v>3.4483477329966351E-2</v>
      </c>
      <c r="D46" s="13">
        <f>G37+3*A40</f>
        <v>285.31699526610544</v>
      </c>
      <c r="E46" s="13">
        <f>SQRT(H37^2+9*B40^2)</f>
        <v>3.4483477329966351E-2</v>
      </c>
    </row>
    <row r="47" spans="1:8" ht="13.2">
      <c r="B47" s="1">
        <v>1.87</v>
      </c>
      <c r="C47" s="1">
        <v>0.01</v>
      </c>
      <c r="D47" s="1">
        <v>2.46</v>
      </c>
      <c r="E47" s="1">
        <v>0.01</v>
      </c>
    </row>
    <row r="48" spans="1:8" ht="17.399999999999999">
      <c r="A48" s="2" t="s">
        <v>37</v>
      </c>
    </row>
    <row r="50" spans="2:5" ht="13.2">
      <c r="B50" s="11" t="s">
        <v>32</v>
      </c>
      <c r="C50" s="11" t="s">
        <v>33</v>
      </c>
      <c r="D50" s="11" t="s">
        <v>34</v>
      </c>
      <c r="E50" s="11" t="s">
        <v>35</v>
      </c>
    </row>
    <row r="51" spans="2:5" ht="13.2">
      <c r="B51" s="13">
        <v>24</v>
      </c>
      <c r="C51" s="13">
        <v>1</v>
      </c>
      <c r="D51" s="13">
        <v>31</v>
      </c>
      <c r="E51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50"/>
  <sheetViews>
    <sheetView workbookViewId="0"/>
  </sheetViews>
  <sheetFormatPr defaultColWidth="12.6640625" defaultRowHeight="15.75" customHeight="1"/>
  <cols>
    <col min="1" max="1" width="4.88671875" customWidth="1"/>
    <col min="2" max="10" width="5.77734375" customWidth="1"/>
    <col min="12" max="12" width="6.88671875" customWidth="1"/>
    <col min="14" max="14" width="6.6640625" customWidth="1"/>
    <col min="16" max="16" width="7.21875" customWidth="1"/>
    <col min="17" max="17" width="10.21875" customWidth="1"/>
    <col min="18" max="20" width="7.109375" customWidth="1"/>
    <col min="22" max="22" width="6.44140625" customWidth="1"/>
    <col min="23" max="23" width="8" customWidth="1"/>
    <col min="24" max="24" width="6.77734375" customWidth="1"/>
  </cols>
  <sheetData>
    <row r="1" spans="1:40">
      <c r="A1" s="15" t="s">
        <v>38</v>
      </c>
      <c r="B1" s="15" t="s">
        <v>39</v>
      </c>
      <c r="C1" s="16" t="s">
        <v>40</v>
      </c>
      <c r="D1" s="16" t="s">
        <v>41</v>
      </c>
      <c r="E1" s="16">
        <v>0.01</v>
      </c>
      <c r="F1" s="16" t="s">
        <v>42</v>
      </c>
      <c r="G1" s="16" t="s">
        <v>43</v>
      </c>
      <c r="H1" s="16" t="s">
        <v>44</v>
      </c>
      <c r="I1" s="16" t="s">
        <v>45</v>
      </c>
      <c r="J1" s="16" t="s">
        <v>46</v>
      </c>
      <c r="K1" s="15" t="s">
        <v>47</v>
      </c>
      <c r="L1" s="15" t="s">
        <v>44</v>
      </c>
      <c r="M1" s="15" t="s">
        <v>48</v>
      </c>
      <c r="N1" s="15" t="s">
        <v>44</v>
      </c>
      <c r="O1" s="15" t="s">
        <v>49</v>
      </c>
      <c r="P1" s="15" t="s">
        <v>44</v>
      </c>
      <c r="Q1" s="15" t="s">
        <v>50</v>
      </c>
      <c r="R1" s="15" t="s">
        <v>44</v>
      </c>
      <c r="S1" s="15"/>
      <c r="T1" s="15" t="s">
        <v>51</v>
      </c>
      <c r="U1" s="1" t="s">
        <v>52</v>
      </c>
      <c r="V1" s="1" t="s">
        <v>53</v>
      </c>
      <c r="W1" s="15" t="s">
        <v>50</v>
      </c>
      <c r="X1" s="15" t="s">
        <v>44</v>
      </c>
    </row>
    <row r="2" spans="1:40">
      <c r="A2" s="17">
        <v>-20</v>
      </c>
      <c r="B2" s="17">
        <v>120</v>
      </c>
      <c r="C2" s="17">
        <v>2</v>
      </c>
      <c r="D2" s="17">
        <v>2</v>
      </c>
      <c r="E2" s="17">
        <v>0.01</v>
      </c>
      <c r="F2" s="18">
        <f t="shared" ref="F2:F28" si="0">E2*C2*10^D2</f>
        <v>2</v>
      </c>
      <c r="G2" s="17" t="s">
        <v>54</v>
      </c>
      <c r="H2" s="17">
        <v>0.01</v>
      </c>
      <c r="I2" s="18">
        <f t="shared" ref="I2:I28" si="1">IF(G2="min",F2*60,F2)</f>
        <v>120</v>
      </c>
      <c r="J2" s="18">
        <f t="shared" ref="J2:J28" si="2">IF(G2="min",H2*60,H2)</f>
        <v>0.6</v>
      </c>
      <c r="K2" s="17">
        <v>36755</v>
      </c>
      <c r="L2" s="17">
        <f t="shared" ref="L2:L28" si="3">ROUND( SQRT(K2),0)</f>
        <v>192</v>
      </c>
      <c r="M2" s="17">
        <v>47181</v>
      </c>
      <c r="N2" s="17">
        <f t="shared" ref="N2:N28" si="4">ROUND( SQRT(M2),0)</f>
        <v>217</v>
      </c>
      <c r="O2" s="17">
        <v>74</v>
      </c>
      <c r="P2" s="17">
        <f t="shared" ref="P2:P28" si="5">ROUND( SQRT(O2),0)</f>
        <v>9</v>
      </c>
      <c r="Q2" s="17">
        <f t="shared" ref="Q2:Q4" si="6">O2/I2</f>
        <v>0.6166666666666667</v>
      </c>
      <c r="R2" s="17">
        <f t="shared" ref="R2:R4" si="7">SQRT( (P2/I2)^2 + (O2/I2/I2*J2)^2 )</f>
        <v>7.5063352872386704E-2</v>
      </c>
      <c r="S2" s="17"/>
      <c r="T2" s="17">
        <v>2</v>
      </c>
      <c r="U2" s="17"/>
      <c r="V2" s="19">
        <f t="shared" ref="V2:V28" si="8">A2</f>
        <v>-20</v>
      </c>
      <c r="W2" s="19">
        <f t="shared" ref="W2:W28" si="9">ROUND(Q2,T2)</f>
        <v>0.62</v>
      </c>
      <c r="X2" s="19">
        <f t="shared" ref="X2:X28" si="10">ROUNDUP(R2,T2)</f>
        <v>0.08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</row>
    <row r="3" spans="1:40">
      <c r="A3" s="17">
        <v>-15</v>
      </c>
      <c r="B3" s="17">
        <v>60</v>
      </c>
      <c r="C3" s="17">
        <v>1</v>
      </c>
      <c r="D3" s="17">
        <v>2</v>
      </c>
      <c r="E3" s="17">
        <v>0.01</v>
      </c>
      <c r="F3" s="18">
        <f t="shared" si="0"/>
        <v>1</v>
      </c>
      <c r="G3" s="17" t="s">
        <v>54</v>
      </c>
      <c r="H3" s="17">
        <v>0.01</v>
      </c>
      <c r="I3" s="18">
        <f t="shared" si="1"/>
        <v>60</v>
      </c>
      <c r="J3" s="18">
        <f t="shared" si="2"/>
        <v>0.6</v>
      </c>
      <c r="K3" s="17">
        <v>18331</v>
      </c>
      <c r="L3" s="17">
        <f t="shared" si="3"/>
        <v>135</v>
      </c>
      <c r="M3" s="17">
        <v>23794</v>
      </c>
      <c r="N3" s="17">
        <f t="shared" si="4"/>
        <v>154</v>
      </c>
      <c r="O3" s="17">
        <v>315</v>
      </c>
      <c r="P3" s="17">
        <f t="shared" si="5"/>
        <v>18</v>
      </c>
      <c r="Q3" s="17">
        <f t="shared" si="6"/>
        <v>5.25</v>
      </c>
      <c r="R3" s="17">
        <f t="shared" si="7"/>
        <v>0.3045591075637043</v>
      </c>
      <c r="S3" s="17"/>
      <c r="T3" s="17">
        <v>2</v>
      </c>
      <c r="U3" s="17"/>
      <c r="V3" s="19">
        <f t="shared" si="8"/>
        <v>-15</v>
      </c>
      <c r="W3" s="19">
        <f t="shared" si="9"/>
        <v>5.25</v>
      </c>
      <c r="X3" s="19">
        <f t="shared" si="10"/>
        <v>0.31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>
      <c r="A4" s="17">
        <v>-12</v>
      </c>
      <c r="B4" s="17">
        <v>60</v>
      </c>
      <c r="C4" s="17">
        <v>1</v>
      </c>
      <c r="D4" s="17">
        <v>2</v>
      </c>
      <c r="E4" s="17">
        <v>0.01</v>
      </c>
      <c r="F4" s="18">
        <f t="shared" si="0"/>
        <v>1</v>
      </c>
      <c r="G4" s="17" t="s">
        <v>54</v>
      </c>
      <c r="H4" s="17">
        <v>0.01</v>
      </c>
      <c r="I4" s="18">
        <f t="shared" si="1"/>
        <v>60</v>
      </c>
      <c r="J4" s="18">
        <f t="shared" si="2"/>
        <v>0.6</v>
      </c>
      <c r="K4" s="17">
        <v>18386</v>
      </c>
      <c r="L4" s="17">
        <f t="shared" si="3"/>
        <v>136</v>
      </c>
      <c r="M4" s="17">
        <v>23665</v>
      </c>
      <c r="N4" s="17">
        <f t="shared" si="4"/>
        <v>154</v>
      </c>
      <c r="O4" s="17">
        <v>1286</v>
      </c>
      <c r="P4" s="17">
        <f t="shared" si="5"/>
        <v>36</v>
      </c>
      <c r="Q4" s="17">
        <f t="shared" si="6"/>
        <v>21.433333333333334</v>
      </c>
      <c r="R4" s="17">
        <f t="shared" si="7"/>
        <v>0.63713324962505113</v>
      </c>
      <c r="S4" s="17"/>
      <c r="T4" s="17">
        <v>2</v>
      </c>
      <c r="U4" s="17"/>
      <c r="V4" s="19">
        <f t="shared" si="8"/>
        <v>-12</v>
      </c>
      <c r="W4" s="19">
        <f t="shared" si="9"/>
        <v>21.43</v>
      </c>
      <c r="X4" s="19">
        <f t="shared" si="10"/>
        <v>0.64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>
      <c r="A5" s="1">
        <v>-10</v>
      </c>
      <c r="B5" s="1">
        <v>20</v>
      </c>
      <c r="C5" s="1">
        <v>2</v>
      </c>
      <c r="D5" s="1">
        <v>3</v>
      </c>
      <c r="E5" s="17">
        <v>0.01</v>
      </c>
      <c r="F5" s="18">
        <f t="shared" si="0"/>
        <v>20</v>
      </c>
      <c r="G5" s="1" t="s">
        <v>55</v>
      </c>
      <c r="H5" s="17">
        <v>0.01</v>
      </c>
      <c r="I5" s="18">
        <f t="shared" si="1"/>
        <v>20</v>
      </c>
      <c r="J5" s="18">
        <f t="shared" si="2"/>
        <v>0.01</v>
      </c>
      <c r="L5" s="17">
        <f t="shared" si="3"/>
        <v>0</v>
      </c>
      <c r="N5" s="17">
        <f t="shared" si="4"/>
        <v>0</v>
      </c>
      <c r="P5" s="17">
        <f t="shared" si="5"/>
        <v>0</v>
      </c>
      <c r="Q5" s="1">
        <f t="shared" ref="Q5:Q28" si="11">O5/B5</f>
        <v>0</v>
      </c>
      <c r="R5" s="1">
        <f t="shared" ref="R5:R28" si="12">P5/B5</f>
        <v>0</v>
      </c>
      <c r="V5" s="19">
        <f t="shared" si="8"/>
        <v>-10</v>
      </c>
      <c r="W5" s="19">
        <f t="shared" si="9"/>
        <v>0</v>
      </c>
      <c r="X5" s="19">
        <f t="shared" si="10"/>
        <v>0</v>
      </c>
    </row>
    <row r="6" spans="1:40">
      <c r="A6" s="1">
        <v>-9</v>
      </c>
      <c r="B6" s="1">
        <v>20</v>
      </c>
      <c r="C6" s="1">
        <v>2</v>
      </c>
      <c r="D6" s="1">
        <v>3</v>
      </c>
      <c r="E6" s="17">
        <v>0.01</v>
      </c>
      <c r="F6" s="18">
        <f t="shared" si="0"/>
        <v>20</v>
      </c>
      <c r="G6" s="1" t="s">
        <v>55</v>
      </c>
      <c r="H6" s="17">
        <v>0.01</v>
      </c>
      <c r="I6" s="18">
        <f t="shared" si="1"/>
        <v>20</v>
      </c>
      <c r="J6" s="18">
        <f t="shared" si="2"/>
        <v>0.01</v>
      </c>
      <c r="L6" s="17">
        <f t="shared" si="3"/>
        <v>0</v>
      </c>
      <c r="N6" s="17">
        <f t="shared" si="4"/>
        <v>0</v>
      </c>
      <c r="P6" s="17">
        <f t="shared" si="5"/>
        <v>0</v>
      </c>
      <c r="Q6" s="1">
        <f t="shared" si="11"/>
        <v>0</v>
      </c>
      <c r="R6" s="1">
        <f t="shared" si="12"/>
        <v>0</v>
      </c>
      <c r="V6" s="19">
        <f t="shared" si="8"/>
        <v>-9</v>
      </c>
      <c r="W6" s="19">
        <f t="shared" si="9"/>
        <v>0</v>
      </c>
      <c r="X6" s="19">
        <f t="shared" si="10"/>
        <v>0</v>
      </c>
    </row>
    <row r="7" spans="1:40">
      <c r="A7" s="1">
        <v>-8</v>
      </c>
      <c r="B7" s="1">
        <v>20</v>
      </c>
      <c r="C7" s="1">
        <v>2</v>
      </c>
      <c r="D7" s="1">
        <v>3</v>
      </c>
      <c r="E7" s="17">
        <v>0.01</v>
      </c>
      <c r="F7" s="18">
        <f t="shared" si="0"/>
        <v>20</v>
      </c>
      <c r="G7" s="1" t="s">
        <v>55</v>
      </c>
      <c r="H7" s="17">
        <v>0.01</v>
      </c>
      <c r="I7" s="18">
        <f t="shared" si="1"/>
        <v>20</v>
      </c>
      <c r="J7" s="18">
        <f t="shared" si="2"/>
        <v>0.01</v>
      </c>
      <c r="L7" s="17">
        <f t="shared" si="3"/>
        <v>0</v>
      </c>
      <c r="N7" s="17">
        <f t="shared" si="4"/>
        <v>0</v>
      </c>
      <c r="P7" s="17">
        <f t="shared" si="5"/>
        <v>0</v>
      </c>
      <c r="Q7" s="1">
        <f t="shared" si="11"/>
        <v>0</v>
      </c>
      <c r="R7" s="1">
        <f t="shared" si="12"/>
        <v>0</v>
      </c>
      <c r="V7" s="19">
        <f t="shared" si="8"/>
        <v>-8</v>
      </c>
      <c r="W7" s="19">
        <f t="shared" si="9"/>
        <v>0</v>
      </c>
      <c r="X7" s="19">
        <f t="shared" si="10"/>
        <v>0</v>
      </c>
    </row>
    <row r="8" spans="1:40">
      <c r="A8" s="1">
        <v>-7</v>
      </c>
      <c r="B8" s="1">
        <v>20</v>
      </c>
      <c r="C8" s="1">
        <v>2</v>
      </c>
      <c r="D8" s="1">
        <v>3</v>
      </c>
      <c r="E8" s="17">
        <v>0.01</v>
      </c>
      <c r="F8" s="18">
        <f t="shared" si="0"/>
        <v>20</v>
      </c>
      <c r="G8" s="1" t="s">
        <v>55</v>
      </c>
      <c r="H8" s="17">
        <v>0.01</v>
      </c>
      <c r="I8" s="18">
        <f t="shared" si="1"/>
        <v>20</v>
      </c>
      <c r="J8" s="18">
        <f t="shared" si="2"/>
        <v>0.01</v>
      </c>
      <c r="L8" s="17">
        <f t="shared" si="3"/>
        <v>0</v>
      </c>
      <c r="N8" s="17">
        <f t="shared" si="4"/>
        <v>0</v>
      </c>
      <c r="P8" s="17">
        <f t="shared" si="5"/>
        <v>0</v>
      </c>
      <c r="Q8" s="1">
        <f t="shared" si="11"/>
        <v>0</v>
      </c>
      <c r="R8" s="1">
        <f t="shared" si="12"/>
        <v>0</v>
      </c>
      <c r="V8" s="19">
        <f t="shared" si="8"/>
        <v>-7</v>
      </c>
      <c r="W8" s="19">
        <f t="shared" si="9"/>
        <v>0</v>
      </c>
      <c r="X8" s="19">
        <f t="shared" si="10"/>
        <v>0</v>
      </c>
    </row>
    <row r="9" spans="1:40">
      <c r="A9" s="1">
        <v>-6</v>
      </c>
      <c r="B9" s="1">
        <v>20</v>
      </c>
      <c r="C9" s="1">
        <v>2</v>
      </c>
      <c r="D9" s="1">
        <v>3</v>
      </c>
      <c r="E9" s="17">
        <v>0.01</v>
      </c>
      <c r="F9" s="18">
        <f t="shared" si="0"/>
        <v>20</v>
      </c>
      <c r="G9" s="1" t="s">
        <v>55</v>
      </c>
      <c r="H9" s="17">
        <v>0.01</v>
      </c>
      <c r="I9" s="18">
        <f t="shared" si="1"/>
        <v>20</v>
      </c>
      <c r="J9" s="18">
        <f t="shared" si="2"/>
        <v>0.01</v>
      </c>
      <c r="L9" s="17">
        <f t="shared" si="3"/>
        <v>0</v>
      </c>
      <c r="N9" s="17">
        <f t="shared" si="4"/>
        <v>0</v>
      </c>
      <c r="P9" s="17">
        <f t="shared" si="5"/>
        <v>0</v>
      </c>
      <c r="Q9" s="1">
        <f t="shared" si="11"/>
        <v>0</v>
      </c>
      <c r="R9" s="1">
        <f t="shared" si="12"/>
        <v>0</v>
      </c>
      <c r="V9" s="19">
        <f t="shared" si="8"/>
        <v>-6</v>
      </c>
      <c r="W9" s="19">
        <f t="shared" si="9"/>
        <v>0</v>
      </c>
      <c r="X9" s="19">
        <f t="shared" si="10"/>
        <v>0</v>
      </c>
    </row>
    <row r="10" spans="1:40">
      <c r="A10" s="1">
        <v>-5</v>
      </c>
      <c r="B10" s="1">
        <v>20</v>
      </c>
      <c r="C10" s="1">
        <v>2</v>
      </c>
      <c r="D10" s="1">
        <v>3</v>
      </c>
      <c r="E10" s="17">
        <v>0.01</v>
      </c>
      <c r="F10" s="18">
        <f t="shared" si="0"/>
        <v>20</v>
      </c>
      <c r="G10" s="1" t="s">
        <v>55</v>
      </c>
      <c r="H10" s="17">
        <v>0.01</v>
      </c>
      <c r="I10" s="18">
        <f t="shared" si="1"/>
        <v>20</v>
      </c>
      <c r="J10" s="18">
        <f t="shared" si="2"/>
        <v>0.01</v>
      </c>
      <c r="L10" s="17">
        <f t="shared" si="3"/>
        <v>0</v>
      </c>
      <c r="N10" s="17">
        <f t="shared" si="4"/>
        <v>0</v>
      </c>
      <c r="P10" s="17">
        <f t="shared" si="5"/>
        <v>0</v>
      </c>
      <c r="Q10" s="1">
        <f t="shared" si="11"/>
        <v>0</v>
      </c>
      <c r="R10" s="1">
        <f t="shared" si="12"/>
        <v>0</v>
      </c>
      <c r="V10" s="19">
        <f t="shared" si="8"/>
        <v>-5</v>
      </c>
      <c r="W10" s="19">
        <f t="shared" si="9"/>
        <v>0</v>
      </c>
      <c r="X10" s="19">
        <f t="shared" si="10"/>
        <v>0</v>
      </c>
    </row>
    <row r="11" spans="1:40">
      <c r="A11" s="1">
        <v>-4</v>
      </c>
      <c r="B11" s="1">
        <v>20</v>
      </c>
      <c r="C11" s="1">
        <v>2</v>
      </c>
      <c r="D11" s="1">
        <v>3</v>
      </c>
      <c r="E11" s="17">
        <v>0.01</v>
      </c>
      <c r="F11" s="18">
        <f t="shared" si="0"/>
        <v>20</v>
      </c>
      <c r="G11" s="1" t="s">
        <v>55</v>
      </c>
      <c r="H11" s="17">
        <v>0.01</v>
      </c>
      <c r="I11" s="18">
        <f t="shared" si="1"/>
        <v>20</v>
      </c>
      <c r="J11" s="18">
        <f t="shared" si="2"/>
        <v>0.01</v>
      </c>
      <c r="L11" s="17">
        <f t="shared" si="3"/>
        <v>0</v>
      </c>
      <c r="N11" s="17">
        <f t="shared" si="4"/>
        <v>0</v>
      </c>
      <c r="P11" s="17">
        <f t="shared" si="5"/>
        <v>0</v>
      </c>
      <c r="Q11" s="1">
        <f t="shared" si="11"/>
        <v>0</v>
      </c>
      <c r="R11" s="1">
        <f t="shared" si="12"/>
        <v>0</v>
      </c>
      <c r="V11" s="19">
        <f t="shared" si="8"/>
        <v>-4</v>
      </c>
      <c r="W11" s="19">
        <f t="shared" si="9"/>
        <v>0</v>
      </c>
      <c r="X11" s="19">
        <f t="shared" si="10"/>
        <v>0</v>
      </c>
    </row>
    <row r="12" spans="1:40">
      <c r="A12" s="1">
        <v>-3</v>
      </c>
      <c r="B12" s="1">
        <v>20</v>
      </c>
      <c r="C12" s="1">
        <v>2</v>
      </c>
      <c r="D12" s="1">
        <v>3</v>
      </c>
      <c r="E12" s="17">
        <v>0.01</v>
      </c>
      <c r="F12" s="18">
        <f t="shared" si="0"/>
        <v>20</v>
      </c>
      <c r="G12" s="1" t="s">
        <v>55</v>
      </c>
      <c r="H12" s="17">
        <v>0.01</v>
      </c>
      <c r="I12" s="18">
        <f t="shared" si="1"/>
        <v>20</v>
      </c>
      <c r="J12" s="18">
        <f t="shared" si="2"/>
        <v>0.01</v>
      </c>
      <c r="L12" s="17">
        <f t="shared" si="3"/>
        <v>0</v>
      </c>
      <c r="N12" s="17">
        <f t="shared" si="4"/>
        <v>0</v>
      </c>
      <c r="P12" s="17">
        <f t="shared" si="5"/>
        <v>0</v>
      </c>
      <c r="Q12" s="1">
        <f t="shared" si="11"/>
        <v>0</v>
      </c>
      <c r="R12" s="1">
        <f t="shared" si="12"/>
        <v>0</v>
      </c>
      <c r="V12" s="19">
        <f t="shared" si="8"/>
        <v>-3</v>
      </c>
      <c r="W12" s="19">
        <f t="shared" si="9"/>
        <v>0</v>
      </c>
      <c r="X12" s="19">
        <f t="shared" si="10"/>
        <v>0</v>
      </c>
    </row>
    <row r="13" spans="1:40">
      <c r="A13" s="1">
        <v>-2</v>
      </c>
      <c r="B13" s="1">
        <v>20</v>
      </c>
      <c r="C13" s="1">
        <v>2</v>
      </c>
      <c r="D13" s="1">
        <v>3</v>
      </c>
      <c r="E13" s="17">
        <v>0.01</v>
      </c>
      <c r="F13" s="18">
        <f t="shared" si="0"/>
        <v>20</v>
      </c>
      <c r="G13" s="1" t="s">
        <v>55</v>
      </c>
      <c r="H13" s="17">
        <v>0.01</v>
      </c>
      <c r="I13" s="18">
        <f t="shared" si="1"/>
        <v>20</v>
      </c>
      <c r="J13" s="18">
        <f t="shared" si="2"/>
        <v>0.01</v>
      </c>
      <c r="L13" s="17">
        <f t="shared" si="3"/>
        <v>0</v>
      </c>
      <c r="N13" s="17">
        <f t="shared" si="4"/>
        <v>0</v>
      </c>
      <c r="P13" s="17">
        <f t="shared" si="5"/>
        <v>0</v>
      </c>
      <c r="Q13" s="1">
        <f t="shared" si="11"/>
        <v>0</v>
      </c>
      <c r="R13" s="1">
        <f t="shared" si="12"/>
        <v>0</v>
      </c>
      <c r="V13" s="19">
        <f t="shared" si="8"/>
        <v>-2</v>
      </c>
      <c r="W13" s="19">
        <f t="shared" si="9"/>
        <v>0</v>
      </c>
      <c r="X13" s="19">
        <f t="shared" si="10"/>
        <v>0</v>
      </c>
    </row>
    <row r="14" spans="1:40">
      <c r="A14" s="1">
        <v>-1</v>
      </c>
      <c r="B14" s="1">
        <v>20</v>
      </c>
      <c r="C14" s="1">
        <v>2</v>
      </c>
      <c r="D14" s="1">
        <v>3</v>
      </c>
      <c r="E14" s="17">
        <v>0.01</v>
      </c>
      <c r="F14" s="18">
        <f t="shared" si="0"/>
        <v>20</v>
      </c>
      <c r="G14" s="1" t="s">
        <v>55</v>
      </c>
      <c r="H14" s="17">
        <v>0.01</v>
      </c>
      <c r="I14" s="18">
        <f t="shared" si="1"/>
        <v>20</v>
      </c>
      <c r="J14" s="18">
        <f t="shared" si="2"/>
        <v>0.01</v>
      </c>
      <c r="L14" s="17">
        <f t="shared" si="3"/>
        <v>0</v>
      </c>
      <c r="N14" s="17">
        <f t="shared" si="4"/>
        <v>0</v>
      </c>
      <c r="P14" s="17">
        <f t="shared" si="5"/>
        <v>0</v>
      </c>
      <c r="Q14" s="1">
        <f t="shared" si="11"/>
        <v>0</v>
      </c>
      <c r="R14" s="1">
        <f t="shared" si="12"/>
        <v>0</v>
      </c>
      <c r="V14" s="19">
        <f t="shared" si="8"/>
        <v>-1</v>
      </c>
      <c r="W14" s="19">
        <f t="shared" si="9"/>
        <v>0</v>
      </c>
      <c r="X14" s="19">
        <f t="shared" si="10"/>
        <v>0</v>
      </c>
    </row>
    <row r="15" spans="1:40">
      <c r="A15" s="17">
        <v>0</v>
      </c>
      <c r="B15" s="17">
        <v>20</v>
      </c>
      <c r="C15" s="1">
        <v>2</v>
      </c>
      <c r="D15" s="1">
        <v>3</v>
      </c>
      <c r="E15" s="17">
        <v>0.01</v>
      </c>
      <c r="F15" s="18">
        <f t="shared" si="0"/>
        <v>20</v>
      </c>
      <c r="G15" s="1" t="s">
        <v>55</v>
      </c>
      <c r="H15" s="17">
        <v>0.01</v>
      </c>
      <c r="I15" s="18">
        <f t="shared" si="1"/>
        <v>20</v>
      </c>
      <c r="J15" s="18">
        <f t="shared" si="2"/>
        <v>0.01</v>
      </c>
      <c r="K15" s="17"/>
      <c r="L15" s="17">
        <f t="shared" si="3"/>
        <v>0</v>
      </c>
      <c r="M15" s="17"/>
      <c r="N15" s="17">
        <f t="shared" si="4"/>
        <v>0</v>
      </c>
      <c r="O15" s="17"/>
      <c r="P15" s="17">
        <f t="shared" si="5"/>
        <v>0</v>
      </c>
      <c r="Q15" s="17">
        <f t="shared" si="11"/>
        <v>0</v>
      </c>
      <c r="R15" s="17">
        <f t="shared" si="12"/>
        <v>0</v>
      </c>
      <c r="S15" s="17"/>
      <c r="T15" s="17"/>
      <c r="U15" s="17"/>
      <c r="V15" s="19">
        <f t="shared" si="8"/>
        <v>0</v>
      </c>
      <c r="W15" s="19">
        <f t="shared" si="9"/>
        <v>0</v>
      </c>
      <c r="X15" s="19">
        <f t="shared" si="10"/>
        <v>0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>
      <c r="A16" s="1">
        <v>1</v>
      </c>
      <c r="B16" s="1">
        <v>20</v>
      </c>
      <c r="C16" s="1">
        <v>2</v>
      </c>
      <c r="D16" s="1">
        <v>3</v>
      </c>
      <c r="E16" s="17">
        <v>0.01</v>
      </c>
      <c r="F16" s="18">
        <f t="shared" si="0"/>
        <v>20</v>
      </c>
      <c r="G16" s="1" t="s">
        <v>55</v>
      </c>
      <c r="H16" s="17">
        <v>0.01</v>
      </c>
      <c r="I16" s="18">
        <f t="shared" si="1"/>
        <v>20</v>
      </c>
      <c r="J16" s="18">
        <f t="shared" si="2"/>
        <v>0.01</v>
      </c>
      <c r="L16" s="17">
        <f t="shared" si="3"/>
        <v>0</v>
      </c>
      <c r="N16" s="17">
        <f t="shared" si="4"/>
        <v>0</v>
      </c>
      <c r="P16" s="17">
        <f t="shared" si="5"/>
        <v>0</v>
      </c>
      <c r="Q16" s="1">
        <f t="shared" si="11"/>
        <v>0</v>
      </c>
      <c r="R16" s="1">
        <f t="shared" si="12"/>
        <v>0</v>
      </c>
      <c r="V16" s="19">
        <f t="shared" si="8"/>
        <v>1</v>
      </c>
      <c r="W16" s="19">
        <f t="shared" si="9"/>
        <v>0</v>
      </c>
      <c r="X16" s="19">
        <f t="shared" si="10"/>
        <v>0</v>
      </c>
    </row>
    <row r="17" spans="1:40">
      <c r="A17" s="1">
        <v>2</v>
      </c>
      <c r="B17" s="1">
        <v>20</v>
      </c>
      <c r="C17" s="1">
        <v>2</v>
      </c>
      <c r="D17" s="1">
        <v>3</v>
      </c>
      <c r="E17" s="17">
        <v>0.01</v>
      </c>
      <c r="F17" s="18">
        <f t="shared" si="0"/>
        <v>20</v>
      </c>
      <c r="G17" s="1" t="s">
        <v>55</v>
      </c>
      <c r="H17" s="17">
        <v>0.01</v>
      </c>
      <c r="I17" s="18">
        <f t="shared" si="1"/>
        <v>20</v>
      </c>
      <c r="J17" s="18">
        <f t="shared" si="2"/>
        <v>0.01</v>
      </c>
      <c r="L17" s="17">
        <f t="shared" si="3"/>
        <v>0</v>
      </c>
      <c r="N17" s="17">
        <f t="shared" si="4"/>
        <v>0</v>
      </c>
      <c r="P17" s="17">
        <f t="shared" si="5"/>
        <v>0</v>
      </c>
      <c r="Q17" s="1">
        <f t="shared" si="11"/>
        <v>0</v>
      </c>
      <c r="R17" s="1">
        <f t="shared" si="12"/>
        <v>0</v>
      </c>
      <c r="V17" s="19">
        <f t="shared" si="8"/>
        <v>2</v>
      </c>
      <c r="W17" s="19">
        <f t="shared" si="9"/>
        <v>0</v>
      </c>
      <c r="X17" s="19">
        <f t="shared" si="10"/>
        <v>0</v>
      </c>
    </row>
    <row r="18" spans="1:40">
      <c r="A18" s="1">
        <v>3</v>
      </c>
      <c r="B18" s="1">
        <v>20</v>
      </c>
      <c r="C18" s="1">
        <v>2</v>
      </c>
      <c r="D18" s="1">
        <v>3</v>
      </c>
      <c r="E18" s="17">
        <v>0.01</v>
      </c>
      <c r="F18" s="18">
        <f t="shared" si="0"/>
        <v>20</v>
      </c>
      <c r="G18" s="1" t="s">
        <v>55</v>
      </c>
      <c r="H18" s="17">
        <v>0.01</v>
      </c>
      <c r="I18" s="18">
        <f t="shared" si="1"/>
        <v>20</v>
      </c>
      <c r="J18" s="18">
        <f t="shared" si="2"/>
        <v>0.01</v>
      </c>
      <c r="L18" s="17">
        <f t="shared" si="3"/>
        <v>0</v>
      </c>
      <c r="N18" s="17">
        <f t="shared" si="4"/>
        <v>0</v>
      </c>
      <c r="P18" s="17">
        <f t="shared" si="5"/>
        <v>0</v>
      </c>
      <c r="Q18" s="1">
        <f t="shared" si="11"/>
        <v>0</v>
      </c>
      <c r="R18" s="1">
        <f t="shared" si="12"/>
        <v>0</v>
      </c>
      <c r="V18" s="19">
        <f t="shared" si="8"/>
        <v>3</v>
      </c>
      <c r="W18" s="19">
        <f t="shared" si="9"/>
        <v>0</v>
      </c>
      <c r="X18" s="19">
        <f t="shared" si="10"/>
        <v>0</v>
      </c>
    </row>
    <row r="19" spans="1:40">
      <c r="A19" s="1">
        <v>4</v>
      </c>
      <c r="B19" s="1">
        <v>20</v>
      </c>
      <c r="C19" s="1">
        <v>2</v>
      </c>
      <c r="D19" s="1">
        <v>3</v>
      </c>
      <c r="E19" s="17">
        <v>0.01</v>
      </c>
      <c r="F19" s="18">
        <f t="shared" si="0"/>
        <v>20</v>
      </c>
      <c r="G19" s="1" t="s">
        <v>55</v>
      </c>
      <c r="H19" s="17">
        <v>0.01</v>
      </c>
      <c r="I19" s="18">
        <f t="shared" si="1"/>
        <v>20</v>
      </c>
      <c r="J19" s="18">
        <f t="shared" si="2"/>
        <v>0.01</v>
      </c>
      <c r="L19" s="17">
        <f t="shared" si="3"/>
        <v>0</v>
      </c>
      <c r="N19" s="17">
        <f t="shared" si="4"/>
        <v>0</v>
      </c>
      <c r="P19" s="17">
        <f t="shared" si="5"/>
        <v>0</v>
      </c>
      <c r="Q19" s="1">
        <f t="shared" si="11"/>
        <v>0</v>
      </c>
      <c r="R19" s="1">
        <f t="shared" si="12"/>
        <v>0</v>
      </c>
      <c r="V19" s="19">
        <f t="shared" si="8"/>
        <v>4</v>
      </c>
      <c r="W19" s="19">
        <f t="shared" si="9"/>
        <v>0</v>
      </c>
      <c r="X19" s="19">
        <f t="shared" si="10"/>
        <v>0</v>
      </c>
    </row>
    <row r="20" spans="1:40">
      <c r="A20" s="1">
        <v>5</v>
      </c>
      <c r="B20" s="1">
        <v>20</v>
      </c>
      <c r="C20" s="1">
        <v>2</v>
      </c>
      <c r="D20" s="1">
        <v>3</v>
      </c>
      <c r="E20" s="17">
        <v>0.01</v>
      </c>
      <c r="F20" s="18">
        <f t="shared" si="0"/>
        <v>20</v>
      </c>
      <c r="G20" s="1" t="s">
        <v>55</v>
      </c>
      <c r="H20" s="17">
        <v>0.01</v>
      </c>
      <c r="I20" s="18">
        <f t="shared" si="1"/>
        <v>20</v>
      </c>
      <c r="J20" s="18">
        <f t="shared" si="2"/>
        <v>0.01</v>
      </c>
      <c r="L20" s="17">
        <f t="shared" si="3"/>
        <v>0</v>
      </c>
      <c r="N20" s="17">
        <f t="shared" si="4"/>
        <v>0</v>
      </c>
      <c r="P20" s="17">
        <f t="shared" si="5"/>
        <v>0</v>
      </c>
      <c r="Q20" s="1">
        <f t="shared" si="11"/>
        <v>0</v>
      </c>
      <c r="R20" s="1">
        <f t="shared" si="12"/>
        <v>0</v>
      </c>
      <c r="V20" s="19">
        <f t="shared" si="8"/>
        <v>5</v>
      </c>
      <c r="W20" s="19">
        <f t="shared" si="9"/>
        <v>0</v>
      </c>
      <c r="X20" s="19">
        <f t="shared" si="10"/>
        <v>0</v>
      </c>
      <c r="Z20" s="1" t="s">
        <v>56</v>
      </c>
    </row>
    <row r="21" spans="1:40">
      <c r="A21" s="1">
        <v>6</v>
      </c>
      <c r="B21" s="1">
        <v>20</v>
      </c>
      <c r="C21" s="1">
        <v>2</v>
      </c>
      <c r="D21" s="1">
        <v>3</v>
      </c>
      <c r="E21" s="17">
        <v>0.01</v>
      </c>
      <c r="F21" s="18">
        <f t="shared" si="0"/>
        <v>20</v>
      </c>
      <c r="G21" s="1" t="s">
        <v>55</v>
      </c>
      <c r="H21" s="17">
        <v>0.01</v>
      </c>
      <c r="I21" s="18">
        <f t="shared" si="1"/>
        <v>20</v>
      </c>
      <c r="J21" s="18">
        <f t="shared" si="2"/>
        <v>0.01</v>
      </c>
      <c r="L21" s="17">
        <f t="shared" si="3"/>
        <v>0</v>
      </c>
      <c r="N21" s="17">
        <f t="shared" si="4"/>
        <v>0</v>
      </c>
      <c r="P21" s="17">
        <f t="shared" si="5"/>
        <v>0</v>
      </c>
      <c r="Q21" s="1">
        <f t="shared" si="11"/>
        <v>0</v>
      </c>
      <c r="R21" s="1">
        <f t="shared" si="12"/>
        <v>0</v>
      </c>
      <c r="V21" s="19">
        <f t="shared" si="8"/>
        <v>6</v>
      </c>
      <c r="W21" s="19">
        <f t="shared" si="9"/>
        <v>0</v>
      </c>
      <c r="X21" s="19">
        <f t="shared" si="10"/>
        <v>0</v>
      </c>
      <c r="Z21" s="1" t="s">
        <v>57</v>
      </c>
    </row>
    <row r="22" spans="1:40">
      <c r="A22" s="1">
        <v>7</v>
      </c>
      <c r="B22" s="1">
        <v>20</v>
      </c>
      <c r="C22" s="1">
        <v>2</v>
      </c>
      <c r="D22" s="1">
        <v>3</v>
      </c>
      <c r="E22" s="17">
        <v>0.01</v>
      </c>
      <c r="F22" s="18">
        <f t="shared" si="0"/>
        <v>20</v>
      </c>
      <c r="G22" s="1" t="s">
        <v>55</v>
      </c>
      <c r="H22" s="17">
        <v>0.01</v>
      </c>
      <c r="I22" s="18">
        <f t="shared" si="1"/>
        <v>20</v>
      </c>
      <c r="J22" s="18">
        <f t="shared" si="2"/>
        <v>0.01</v>
      </c>
      <c r="L22" s="17">
        <f t="shared" si="3"/>
        <v>0</v>
      </c>
      <c r="N22" s="17">
        <f t="shared" si="4"/>
        <v>0</v>
      </c>
      <c r="P22" s="17">
        <f t="shared" si="5"/>
        <v>0</v>
      </c>
      <c r="Q22" s="1">
        <f t="shared" si="11"/>
        <v>0</v>
      </c>
      <c r="R22" s="1">
        <f t="shared" si="12"/>
        <v>0</v>
      </c>
      <c r="V22" s="19">
        <f t="shared" si="8"/>
        <v>7</v>
      </c>
      <c r="W22" s="19">
        <f t="shared" si="9"/>
        <v>0</v>
      </c>
      <c r="X22" s="19">
        <f t="shared" si="10"/>
        <v>0</v>
      </c>
      <c r="Z22" s="1" t="s">
        <v>58</v>
      </c>
    </row>
    <row r="23" spans="1:40">
      <c r="A23" s="1">
        <v>8</v>
      </c>
      <c r="B23" s="1">
        <v>20</v>
      </c>
      <c r="C23" s="1">
        <v>2</v>
      </c>
      <c r="D23" s="1">
        <v>3</v>
      </c>
      <c r="E23" s="17">
        <v>0.01</v>
      </c>
      <c r="F23" s="18">
        <f t="shared" si="0"/>
        <v>20</v>
      </c>
      <c r="G23" s="1" t="s">
        <v>55</v>
      </c>
      <c r="H23" s="17">
        <v>0.01</v>
      </c>
      <c r="I23" s="18">
        <f t="shared" si="1"/>
        <v>20</v>
      </c>
      <c r="J23" s="18">
        <f t="shared" si="2"/>
        <v>0.01</v>
      </c>
      <c r="L23" s="17">
        <f t="shared" si="3"/>
        <v>0</v>
      </c>
      <c r="N23" s="17">
        <f t="shared" si="4"/>
        <v>0</v>
      </c>
      <c r="P23" s="17">
        <f t="shared" si="5"/>
        <v>0</v>
      </c>
      <c r="Q23" s="1">
        <f t="shared" si="11"/>
        <v>0</v>
      </c>
      <c r="R23" s="1">
        <f t="shared" si="12"/>
        <v>0</v>
      </c>
      <c r="V23" s="19">
        <f t="shared" si="8"/>
        <v>8</v>
      </c>
      <c r="W23" s="19">
        <f t="shared" si="9"/>
        <v>0</v>
      </c>
      <c r="X23" s="19">
        <f t="shared" si="10"/>
        <v>0</v>
      </c>
      <c r="Z23" s="20" t="s">
        <v>59</v>
      </c>
    </row>
    <row r="24" spans="1:40">
      <c r="A24" s="1">
        <v>9</v>
      </c>
      <c r="B24" s="1">
        <v>20</v>
      </c>
      <c r="C24" s="1">
        <v>2</v>
      </c>
      <c r="D24" s="1">
        <v>3</v>
      </c>
      <c r="E24" s="17">
        <v>0.01</v>
      </c>
      <c r="F24" s="18">
        <f t="shared" si="0"/>
        <v>20</v>
      </c>
      <c r="G24" s="1" t="s">
        <v>55</v>
      </c>
      <c r="H24" s="17">
        <v>0.01</v>
      </c>
      <c r="I24" s="18">
        <f t="shared" si="1"/>
        <v>20</v>
      </c>
      <c r="J24" s="18">
        <f t="shared" si="2"/>
        <v>0.01</v>
      </c>
      <c r="L24" s="17">
        <f t="shared" si="3"/>
        <v>0</v>
      </c>
      <c r="N24" s="17">
        <f t="shared" si="4"/>
        <v>0</v>
      </c>
      <c r="P24" s="17">
        <f t="shared" si="5"/>
        <v>0</v>
      </c>
      <c r="Q24" s="1">
        <f t="shared" si="11"/>
        <v>0</v>
      </c>
      <c r="R24" s="1">
        <f t="shared" si="12"/>
        <v>0</v>
      </c>
      <c r="V24" s="19">
        <f t="shared" si="8"/>
        <v>9</v>
      </c>
      <c r="W24" s="19">
        <f t="shared" si="9"/>
        <v>0</v>
      </c>
      <c r="X24" s="19">
        <f t="shared" si="10"/>
        <v>0</v>
      </c>
    </row>
    <row r="25" spans="1:40">
      <c r="A25" s="1">
        <v>10</v>
      </c>
      <c r="B25" s="1">
        <v>20</v>
      </c>
      <c r="C25" s="1">
        <v>2</v>
      </c>
      <c r="D25" s="1">
        <v>3</v>
      </c>
      <c r="E25" s="17">
        <v>0.01</v>
      </c>
      <c r="F25" s="18">
        <f t="shared" si="0"/>
        <v>20</v>
      </c>
      <c r="G25" s="1" t="s">
        <v>55</v>
      </c>
      <c r="H25" s="17">
        <v>0.01</v>
      </c>
      <c r="I25" s="18">
        <f t="shared" si="1"/>
        <v>20</v>
      </c>
      <c r="J25" s="18">
        <f t="shared" si="2"/>
        <v>0.01</v>
      </c>
      <c r="L25" s="17">
        <f t="shared" si="3"/>
        <v>0</v>
      </c>
      <c r="N25" s="17">
        <f t="shared" si="4"/>
        <v>0</v>
      </c>
      <c r="P25" s="17">
        <f t="shared" si="5"/>
        <v>0</v>
      </c>
      <c r="Q25" s="1">
        <f t="shared" si="11"/>
        <v>0</v>
      </c>
      <c r="R25" s="1">
        <f t="shared" si="12"/>
        <v>0</v>
      </c>
      <c r="V25" s="19">
        <f t="shared" si="8"/>
        <v>10</v>
      </c>
      <c r="W25" s="19">
        <f t="shared" si="9"/>
        <v>0</v>
      </c>
      <c r="X25" s="19">
        <f t="shared" si="10"/>
        <v>0</v>
      </c>
    </row>
    <row r="26" spans="1:40">
      <c r="A26" s="17">
        <v>12</v>
      </c>
      <c r="B26" s="17">
        <v>40</v>
      </c>
      <c r="C26" s="17">
        <v>1</v>
      </c>
      <c r="D26" s="17">
        <v>2</v>
      </c>
      <c r="E26" s="17">
        <v>0.01</v>
      </c>
      <c r="F26" s="18">
        <f t="shared" si="0"/>
        <v>1</v>
      </c>
      <c r="G26" s="17" t="s">
        <v>54</v>
      </c>
      <c r="H26" s="17">
        <v>0.01</v>
      </c>
      <c r="I26" s="18">
        <f t="shared" si="1"/>
        <v>60</v>
      </c>
      <c r="J26" s="18">
        <f t="shared" si="2"/>
        <v>0.6</v>
      </c>
      <c r="K26" s="17"/>
      <c r="L26" s="17">
        <f t="shared" si="3"/>
        <v>0</v>
      </c>
      <c r="M26" s="17"/>
      <c r="N26" s="17">
        <f t="shared" si="4"/>
        <v>0</v>
      </c>
      <c r="O26" s="17"/>
      <c r="P26" s="17">
        <f t="shared" si="5"/>
        <v>0</v>
      </c>
      <c r="Q26" s="17">
        <f t="shared" si="11"/>
        <v>0</v>
      </c>
      <c r="R26" s="17">
        <f t="shared" si="12"/>
        <v>0</v>
      </c>
      <c r="S26" s="17"/>
      <c r="T26" s="17"/>
      <c r="U26" s="17"/>
      <c r="V26" s="19">
        <f t="shared" si="8"/>
        <v>12</v>
      </c>
      <c r="W26" s="19">
        <f t="shared" si="9"/>
        <v>0</v>
      </c>
      <c r="X26" s="19">
        <f t="shared" si="10"/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1:40">
      <c r="A27" s="17">
        <v>15</v>
      </c>
      <c r="B27" s="17">
        <v>70</v>
      </c>
      <c r="C27" s="17">
        <v>1</v>
      </c>
      <c r="D27" s="17">
        <v>2</v>
      </c>
      <c r="E27" s="17">
        <v>0.01</v>
      </c>
      <c r="F27" s="18">
        <f t="shared" si="0"/>
        <v>1</v>
      </c>
      <c r="G27" s="17" t="s">
        <v>54</v>
      </c>
      <c r="H27" s="17">
        <v>0.01</v>
      </c>
      <c r="I27" s="18">
        <f t="shared" si="1"/>
        <v>60</v>
      </c>
      <c r="J27" s="18">
        <f t="shared" si="2"/>
        <v>0.6</v>
      </c>
      <c r="K27" s="17"/>
      <c r="L27" s="17">
        <f t="shared" si="3"/>
        <v>0</v>
      </c>
      <c r="M27" s="17"/>
      <c r="N27" s="17">
        <f t="shared" si="4"/>
        <v>0</v>
      </c>
      <c r="O27" s="17"/>
      <c r="P27" s="17">
        <f t="shared" si="5"/>
        <v>0</v>
      </c>
      <c r="Q27" s="17">
        <f t="shared" si="11"/>
        <v>0</v>
      </c>
      <c r="R27" s="17">
        <f t="shared" si="12"/>
        <v>0</v>
      </c>
      <c r="S27" s="17"/>
      <c r="T27" s="17"/>
      <c r="U27" s="17"/>
      <c r="V27" s="19">
        <f t="shared" si="8"/>
        <v>15</v>
      </c>
      <c r="W27" s="19">
        <f t="shared" si="9"/>
        <v>0</v>
      </c>
      <c r="X27" s="19">
        <f t="shared" si="10"/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1:40">
      <c r="A28" s="17">
        <v>20</v>
      </c>
      <c r="B28" s="17">
        <v>120</v>
      </c>
      <c r="C28" s="17">
        <v>2</v>
      </c>
      <c r="D28" s="17">
        <v>2</v>
      </c>
      <c r="E28" s="17">
        <v>0.01</v>
      </c>
      <c r="F28" s="18">
        <f t="shared" si="0"/>
        <v>2</v>
      </c>
      <c r="G28" s="17" t="s">
        <v>54</v>
      </c>
      <c r="H28" s="17">
        <v>0.01</v>
      </c>
      <c r="I28" s="18">
        <f t="shared" si="1"/>
        <v>120</v>
      </c>
      <c r="J28" s="18">
        <f t="shared" si="2"/>
        <v>0.6</v>
      </c>
      <c r="K28" s="17"/>
      <c r="L28" s="17">
        <f t="shared" si="3"/>
        <v>0</v>
      </c>
      <c r="M28" s="17"/>
      <c r="N28" s="17">
        <f t="shared" si="4"/>
        <v>0</v>
      </c>
      <c r="O28" s="17"/>
      <c r="P28" s="17">
        <f t="shared" si="5"/>
        <v>0</v>
      </c>
      <c r="Q28" s="17">
        <f t="shared" si="11"/>
        <v>0</v>
      </c>
      <c r="R28" s="17">
        <f t="shared" si="12"/>
        <v>0</v>
      </c>
      <c r="S28" s="17"/>
      <c r="T28" s="17"/>
      <c r="U28" s="17"/>
      <c r="V28" s="19">
        <f t="shared" si="8"/>
        <v>20</v>
      </c>
      <c r="W28" s="19">
        <f t="shared" si="9"/>
        <v>0</v>
      </c>
      <c r="X28" s="19">
        <f t="shared" si="10"/>
        <v>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1:40">
      <c r="A29" s="1" t="s">
        <v>60</v>
      </c>
      <c r="B29" s="1"/>
      <c r="C29" s="1"/>
      <c r="D29" s="1"/>
      <c r="E29" s="1"/>
      <c r="F29" s="1"/>
      <c r="G29" s="1"/>
      <c r="H29" s="1"/>
      <c r="I29" s="1"/>
      <c r="J29" s="1"/>
    </row>
    <row r="30" spans="1:40">
      <c r="A30" s="21" t="s">
        <v>61</v>
      </c>
      <c r="B30" s="21"/>
      <c r="C30" s="21"/>
      <c r="D30" s="21"/>
      <c r="E30" s="21"/>
      <c r="F30" s="21"/>
      <c r="G30" s="21"/>
      <c r="H30" s="21"/>
      <c r="I30" s="21"/>
      <c r="J30" s="21"/>
      <c r="K30" s="21" t="s">
        <v>62</v>
      </c>
      <c r="L30" s="21" t="s">
        <v>44</v>
      </c>
      <c r="M30" s="21" t="s">
        <v>63</v>
      </c>
      <c r="N30" s="21" t="s">
        <v>44</v>
      </c>
      <c r="O30" s="21" t="s">
        <v>64</v>
      </c>
      <c r="P30" s="21" t="s">
        <v>44</v>
      </c>
      <c r="Q30" s="21" t="s">
        <v>50</v>
      </c>
      <c r="R30" s="21" t="s">
        <v>44</v>
      </c>
      <c r="S30" s="21"/>
      <c r="T30" s="21"/>
    </row>
    <row r="31" spans="1:40">
      <c r="A31" s="1">
        <v>20</v>
      </c>
      <c r="B31" s="22"/>
      <c r="C31" s="22"/>
      <c r="D31" s="22"/>
      <c r="E31" s="22"/>
      <c r="F31" s="22"/>
      <c r="G31" s="22"/>
      <c r="H31" s="22"/>
      <c r="I31" s="22"/>
      <c r="J31" s="22"/>
      <c r="L31" s="1">
        <f t="shared" ref="L31:L36" si="13">SQRT(K31)</f>
        <v>0</v>
      </c>
      <c r="N31" s="1">
        <f t="shared" ref="N31:N36" si="14">SQRT(M31)</f>
        <v>0</v>
      </c>
      <c r="P31" s="1">
        <f t="shared" ref="P31:P36" si="15">SQRT(O31)</f>
        <v>0</v>
      </c>
      <c r="Q31" s="1">
        <f t="shared" ref="Q31:Q36" si="16">O31/A31</f>
        <v>0</v>
      </c>
      <c r="R31" s="1">
        <f t="shared" ref="R31:R36" si="17">P31/A31</f>
        <v>0</v>
      </c>
    </row>
    <row r="32" spans="1:40">
      <c r="A32" s="1">
        <v>40</v>
      </c>
      <c r="B32" s="22"/>
      <c r="C32" s="22"/>
      <c r="D32" s="22"/>
      <c r="E32" s="22"/>
      <c r="F32" s="22"/>
      <c r="G32" s="22"/>
      <c r="H32" s="22"/>
      <c r="I32" s="22"/>
      <c r="J32" s="22"/>
      <c r="L32" s="1">
        <f t="shared" si="13"/>
        <v>0</v>
      </c>
      <c r="N32" s="1">
        <f t="shared" si="14"/>
        <v>0</v>
      </c>
      <c r="P32" s="1">
        <f t="shared" si="15"/>
        <v>0</v>
      </c>
      <c r="Q32" s="1">
        <f t="shared" si="16"/>
        <v>0</v>
      </c>
      <c r="R32" s="1">
        <f t="shared" si="17"/>
        <v>0</v>
      </c>
    </row>
    <row r="33" spans="1:20">
      <c r="A33" s="1">
        <v>60</v>
      </c>
      <c r="B33" s="22"/>
      <c r="C33" s="22"/>
      <c r="D33" s="22"/>
      <c r="E33" s="22"/>
      <c r="F33" s="22"/>
      <c r="G33" s="22"/>
      <c r="H33" s="22"/>
      <c r="I33" s="22"/>
      <c r="J33" s="22"/>
      <c r="L33" s="1">
        <f t="shared" si="13"/>
        <v>0</v>
      </c>
      <c r="N33" s="1">
        <f t="shared" si="14"/>
        <v>0</v>
      </c>
      <c r="P33" s="1">
        <f t="shared" si="15"/>
        <v>0</v>
      </c>
      <c r="Q33" s="1">
        <f t="shared" si="16"/>
        <v>0</v>
      </c>
      <c r="R33" s="1">
        <f t="shared" si="17"/>
        <v>0</v>
      </c>
    </row>
    <row r="34" spans="1:20">
      <c r="A34" s="1">
        <v>80</v>
      </c>
      <c r="B34" s="22"/>
      <c r="C34" s="22"/>
      <c r="D34" s="22"/>
      <c r="E34" s="22"/>
      <c r="F34" s="22"/>
      <c r="G34" s="22"/>
      <c r="H34" s="22"/>
      <c r="I34" s="22"/>
      <c r="J34" s="22"/>
      <c r="L34" s="1">
        <f t="shared" si="13"/>
        <v>0</v>
      </c>
      <c r="N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</row>
    <row r="35" spans="1:20">
      <c r="A35" s="1">
        <v>100</v>
      </c>
      <c r="B35" s="22"/>
      <c r="C35" s="22"/>
      <c r="D35" s="22"/>
      <c r="E35" s="22"/>
      <c r="F35" s="22"/>
      <c r="G35" s="22"/>
      <c r="H35" s="22"/>
      <c r="I35" s="22"/>
      <c r="J35" s="22"/>
      <c r="L35" s="1">
        <f t="shared" si="13"/>
        <v>0</v>
      </c>
      <c r="N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</row>
    <row r="36" spans="1:20">
      <c r="A36" s="1">
        <v>120</v>
      </c>
      <c r="B36" s="22"/>
      <c r="C36" s="22"/>
      <c r="D36" s="22"/>
      <c r="E36" s="22"/>
      <c r="F36" s="22"/>
      <c r="G36" s="22"/>
      <c r="H36" s="22"/>
      <c r="I36" s="22"/>
      <c r="J36" s="22"/>
      <c r="L36" s="1">
        <f t="shared" si="13"/>
        <v>0</v>
      </c>
      <c r="N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</row>
    <row r="37" spans="1:20">
      <c r="A37" s="21" t="s">
        <v>65</v>
      </c>
      <c r="B37" s="21"/>
      <c r="C37" s="21"/>
      <c r="D37" s="21"/>
      <c r="E37" s="21"/>
      <c r="F37" s="21"/>
      <c r="G37" s="21"/>
      <c r="H37" s="21"/>
      <c r="I37" s="21"/>
      <c r="J37" s="21"/>
      <c r="K37" s="21" t="s">
        <v>62</v>
      </c>
      <c r="L37" s="21" t="s">
        <v>44</v>
      </c>
      <c r="M37" s="21" t="s">
        <v>63</v>
      </c>
      <c r="N37" s="21" t="s">
        <v>44</v>
      </c>
      <c r="O37" s="21" t="s">
        <v>64</v>
      </c>
      <c r="P37" s="21" t="s">
        <v>44</v>
      </c>
      <c r="Q37" s="21" t="s">
        <v>50</v>
      </c>
      <c r="R37" s="21" t="s">
        <v>44</v>
      </c>
      <c r="S37" s="21"/>
      <c r="T37" s="21"/>
    </row>
    <row r="38" spans="1:20">
      <c r="A38" s="1">
        <v>20</v>
      </c>
      <c r="B38" s="22"/>
      <c r="C38" s="22"/>
      <c r="D38" s="22"/>
      <c r="E38" s="22"/>
      <c r="F38" s="22"/>
      <c r="G38" s="22"/>
      <c r="H38" s="22"/>
      <c r="I38" s="22"/>
      <c r="J38" s="22"/>
      <c r="L38" s="1">
        <f t="shared" ref="L38:L43" si="18">SQRT(K38)</f>
        <v>0</v>
      </c>
      <c r="N38" s="1">
        <f t="shared" ref="N38:N43" si="19">SQRT(M38)</f>
        <v>0</v>
      </c>
      <c r="P38" s="1">
        <f t="shared" ref="P38:P43" si="20">SQRT(O38)</f>
        <v>0</v>
      </c>
      <c r="Q38" s="1">
        <f t="shared" ref="Q38:Q43" si="21">O38/A38</f>
        <v>0</v>
      </c>
      <c r="R38" s="1">
        <f t="shared" ref="R38:R43" si="22">P38/A38</f>
        <v>0</v>
      </c>
    </row>
    <row r="39" spans="1:20">
      <c r="A39" s="1">
        <v>40</v>
      </c>
      <c r="B39" s="22"/>
      <c r="C39" s="22"/>
      <c r="D39" s="22"/>
      <c r="E39" s="22"/>
      <c r="F39" s="22"/>
      <c r="G39" s="22"/>
      <c r="H39" s="22"/>
      <c r="I39" s="22"/>
      <c r="J39" s="22"/>
      <c r="L39" s="1">
        <f t="shared" si="18"/>
        <v>0</v>
      </c>
      <c r="N39" s="1">
        <f t="shared" si="19"/>
        <v>0</v>
      </c>
      <c r="P39" s="1">
        <f t="shared" si="20"/>
        <v>0</v>
      </c>
      <c r="Q39" s="1">
        <f t="shared" si="21"/>
        <v>0</v>
      </c>
      <c r="R39" s="1">
        <f t="shared" si="22"/>
        <v>0</v>
      </c>
    </row>
    <row r="40" spans="1:20">
      <c r="A40" s="1">
        <v>60</v>
      </c>
      <c r="B40" s="22"/>
      <c r="C40" s="22"/>
      <c r="D40" s="22"/>
      <c r="E40" s="22"/>
      <c r="F40" s="22"/>
      <c r="G40" s="22"/>
      <c r="H40" s="22"/>
      <c r="I40" s="22"/>
      <c r="J40" s="22"/>
      <c r="L40" s="1">
        <f t="shared" si="18"/>
        <v>0</v>
      </c>
      <c r="N40" s="1">
        <f t="shared" si="19"/>
        <v>0</v>
      </c>
      <c r="P40" s="1">
        <f t="shared" si="20"/>
        <v>0</v>
      </c>
      <c r="Q40" s="1">
        <f t="shared" si="21"/>
        <v>0</v>
      </c>
      <c r="R40" s="1">
        <f t="shared" si="22"/>
        <v>0</v>
      </c>
    </row>
    <row r="41" spans="1:20">
      <c r="A41" s="1">
        <v>80</v>
      </c>
      <c r="B41" s="22"/>
      <c r="C41" s="22"/>
      <c r="D41" s="22"/>
      <c r="E41" s="22"/>
      <c r="F41" s="22"/>
      <c r="G41" s="22"/>
      <c r="H41" s="22"/>
      <c r="I41" s="22"/>
      <c r="J41" s="22"/>
      <c r="L41" s="1">
        <f t="shared" si="18"/>
        <v>0</v>
      </c>
      <c r="N41" s="1">
        <f t="shared" si="19"/>
        <v>0</v>
      </c>
      <c r="P41" s="1">
        <f t="shared" si="20"/>
        <v>0</v>
      </c>
      <c r="Q41" s="1">
        <f t="shared" si="21"/>
        <v>0</v>
      </c>
      <c r="R41" s="1">
        <f t="shared" si="22"/>
        <v>0</v>
      </c>
    </row>
    <row r="42" spans="1:20">
      <c r="A42" s="1">
        <v>100</v>
      </c>
      <c r="B42" s="22"/>
      <c r="C42" s="22"/>
      <c r="D42" s="22"/>
      <c r="E42" s="22"/>
      <c r="F42" s="22"/>
      <c r="G42" s="22"/>
      <c r="H42" s="22"/>
      <c r="I42" s="22"/>
      <c r="J42" s="22"/>
      <c r="L42" s="1">
        <f t="shared" si="18"/>
        <v>0</v>
      </c>
      <c r="N42" s="1">
        <f t="shared" si="19"/>
        <v>0</v>
      </c>
      <c r="P42" s="1">
        <f t="shared" si="20"/>
        <v>0</v>
      </c>
      <c r="Q42" s="1">
        <f t="shared" si="21"/>
        <v>0</v>
      </c>
      <c r="R42" s="1">
        <f t="shared" si="22"/>
        <v>0</v>
      </c>
    </row>
    <row r="43" spans="1:20">
      <c r="A43" s="1">
        <v>120</v>
      </c>
      <c r="B43" s="22"/>
      <c r="C43" s="22"/>
      <c r="D43" s="22"/>
      <c r="E43" s="22"/>
      <c r="F43" s="22"/>
      <c r="G43" s="22"/>
      <c r="H43" s="22"/>
      <c r="I43" s="22"/>
      <c r="J43" s="22"/>
      <c r="L43" s="1">
        <f t="shared" si="18"/>
        <v>0</v>
      </c>
      <c r="N43" s="1">
        <f t="shared" si="19"/>
        <v>0</v>
      </c>
      <c r="P43" s="1">
        <f t="shared" si="20"/>
        <v>0</v>
      </c>
      <c r="Q43" s="1">
        <f t="shared" si="21"/>
        <v>0</v>
      </c>
      <c r="R43" s="1">
        <f t="shared" si="22"/>
        <v>0</v>
      </c>
    </row>
    <row r="44" spans="1:20">
      <c r="A44" s="21" t="s">
        <v>66</v>
      </c>
      <c r="B44" s="21"/>
      <c r="C44" s="21"/>
      <c r="D44" s="21"/>
      <c r="E44" s="21"/>
      <c r="F44" s="21"/>
      <c r="G44" s="21"/>
      <c r="H44" s="21"/>
      <c r="I44" s="21"/>
      <c r="J44" s="21"/>
      <c r="K44" s="21" t="s">
        <v>62</v>
      </c>
      <c r="L44" s="21" t="s">
        <v>44</v>
      </c>
      <c r="M44" s="21" t="s">
        <v>63</v>
      </c>
      <c r="N44" s="21" t="s">
        <v>44</v>
      </c>
      <c r="O44" s="21" t="s">
        <v>64</v>
      </c>
      <c r="P44" s="21" t="s">
        <v>44</v>
      </c>
      <c r="Q44" s="21" t="s">
        <v>50</v>
      </c>
      <c r="R44" s="21" t="s">
        <v>44</v>
      </c>
      <c r="S44" s="21"/>
      <c r="T44" s="21"/>
    </row>
    <row r="45" spans="1:20">
      <c r="A45" s="1">
        <v>20</v>
      </c>
      <c r="B45" s="22"/>
      <c r="C45" s="22"/>
      <c r="D45" s="22"/>
      <c r="E45" s="22"/>
      <c r="F45" s="22"/>
      <c r="G45" s="22"/>
      <c r="H45" s="22"/>
      <c r="I45" s="22"/>
      <c r="J45" s="22"/>
      <c r="L45" s="1">
        <f t="shared" ref="L45:L50" si="23">SQRT(K45)</f>
        <v>0</v>
      </c>
      <c r="N45" s="1">
        <f t="shared" ref="N45:N50" si="24">SQRT(M45)</f>
        <v>0</v>
      </c>
      <c r="P45" s="1">
        <f t="shared" ref="P45:P50" si="25">SQRT(O45)</f>
        <v>0</v>
      </c>
      <c r="Q45" s="1">
        <f t="shared" ref="Q45:Q50" si="26">O45/A45</f>
        <v>0</v>
      </c>
      <c r="R45" s="1">
        <f t="shared" ref="R45:R50" si="27">P45/A45</f>
        <v>0</v>
      </c>
    </row>
    <row r="46" spans="1:20">
      <c r="A46" s="1">
        <v>40</v>
      </c>
      <c r="B46" s="22"/>
      <c r="C46" s="22"/>
      <c r="D46" s="22"/>
      <c r="E46" s="22"/>
      <c r="F46" s="22"/>
      <c r="G46" s="22"/>
      <c r="H46" s="22"/>
      <c r="I46" s="22"/>
      <c r="J46" s="22"/>
      <c r="L46" s="1">
        <f t="shared" si="23"/>
        <v>0</v>
      </c>
      <c r="N46" s="1">
        <f t="shared" si="24"/>
        <v>0</v>
      </c>
      <c r="P46" s="1">
        <f t="shared" si="25"/>
        <v>0</v>
      </c>
      <c r="Q46" s="1">
        <f t="shared" si="26"/>
        <v>0</v>
      </c>
      <c r="R46" s="1">
        <f t="shared" si="27"/>
        <v>0</v>
      </c>
    </row>
    <row r="47" spans="1:20">
      <c r="A47" s="1">
        <v>60</v>
      </c>
      <c r="B47" s="22"/>
      <c r="C47" s="22"/>
      <c r="D47" s="22"/>
      <c r="E47" s="22"/>
      <c r="F47" s="22"/>
      <c r="G47" s="22"/>
      <c r="H47" s="22"/>
      <c r="I47" s="22"/>
      <c r="J47" s="22"/>
      <c r="L47" s="1">
        <f t="shared" si="23"/>
        <v>0</v>
      </c>
      <c r="N47" s="1">
        <f t="shared" si="24"/>
        <v>0</v>
      </c>
      <c r="P47" s="1">
        <f t="shared" si="25"/>
        <v>0</v>
      </c>
      <c r="Q47" s="1">
        <f t="shared" si="26"/>
        <v>0</v>
      </c>
      <c r="R47" s="1">
        <f t="shared" si="27"/>
        <v>0</v>
      </c>
    </row>
    <row r="48" spans="1:20">
      <c r="A48" s="1">
        <v>80</v>
      </c>
      <c r="B48" s="22"/>
      <c r="C48" s="22"/>
      <c r="D48" s="22"/>
      <c r="E48" s="22"/>
      <c r="F48" s="22"/>
      <c r="G48" s="22"/>
      <c r="H48" s="22"/>
      <c r="I48" s="22"/>
      <c r="J48" s="22"/>
      <c r="L48" s="1">
        <f t="shared" si="23"/>
        <v>0</v>
      </c>
      <c r="N48" s="1">
        <f t="shared" si="24"/>
        <v>0</v>
      </c>
      <c r="P48" s="1">
        <f t="shared" si="25"/>
        <v>0</v>
      </c>
      <c r="Q48" s="1">
        <f t="shared" si="26"/>
        <v>0</v>
      </c>
      <c r="R48" s="1">
        <f t="shared" si="27"/>
        <v>0</v>
      </c>
    </row>
    <row r="49" spans="1:18">
      <c r="A49" s="1">
        <v>100</v>
      </c>
      <c r="B49" s="22"/>
      <c r="C49" s="22"/>
      <c r="D49" s="22"/>
      <c r="E49" s="22"/>
      <c r="F49" s="22"/>
      <c r="G49" s="22"/>
      <c r="H49" s="22"/>
      <c r="I49" s="22"/>
      <c r="J49" s="22"/>
      <c r="L49" s="1">
        <f t="shared" si="23"/>
        <v>0</v>
      </c>
      <c r="N49" s="1">
        <f t="shared" si="24"/>
        <v>0</v>
      </c>
      <c r="P49" s="1">
        <f t="shared" si="25"/>
        <v>0</v>
      </c>
      <c r="Q49" s="1">
        <f t="shared" si="26"/>
        <v>0</v>
      </c>
      <c r="R49" s="1">
        <f t="shared" si="27"/>
        <v>0</v>
      </c>
    </row>
    <row r="50" spans="1:18">
      <c r="A50" s="1">
        <v>120</v>
      </c>
      <c r="B50" s="22"/>
      <c r="C50" s="22"/>
      <c r="D50" s="22"/>
      <c r="E50" s="22"/>
      <c r="F50" s="22"/>
      <c r="G50" s="22"/>
      <c r="H50" s="22"/>
      <c r="I50" s="22"/>
      <c r="J50" s="22"/>
      <c r="L50" s="1">
        <f t="shared" si="23"/>
        <v>0</v>
      </c>
      <c r="N50" s="1">
        <f t="shared" si="24"/>
        <v>0</v>
      </c>
      <c r="P50" s="1">
        <f t="shared" si="25"/>
        <v>0</v>
      </c>
      <c r="Q50" s="1">
        <f t="shared" si="26"/>
        <v>0</v>
      </c>
      <c r="R50" s="1">
        <f t="shared" si="27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3"/>
  <sheetViews>
    <sheetView workbookViewId="0"/>
  </sheetViews>
  <sheetFormatPr defaultColWidth="12.6640625" defaultRowHeight="15.75" customHeight="1"/>
  <sheetData>
    <row r="2" spans="1:2">
      <c r="A2" s="1" t="s">
        <v>67</v>
      </c>
      <c r="B2" s="1" t="s">
        <v>68</v>
      </c>
    </row>
    <row r="3" spans="1:2">
      <c r="A3" s="1" t="s">
        <v>67</v>
      </c>
      <c r="B3" s="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3"/>
  <sheetViews>
    <sheetView workbookViewId="0"/>
  </sheetViews>
  <sheetFormatPr defaultColWidth="12.6640625" defaultRowHeight="15.75" customHeight="1"/>
  <cols>
    <col min="1" max="1" width="15.88671875" customWidth="1"/>
    <col min="2" max="2" width="17.6640625" customWidth="1"/>
    <col min="3" max="3" width="13.88671875" customWidth="1"/>
    <col min="4" max="4" width="14.44140625" customWidth="1"/>
    <col min="5" max="5" width="15.21875" customWidth="1"/>
    <col min="6" max="6" width="15" customWidth="1"/>
    <col min="7" max="7" width="22.109375" customWidth="1"/>
    <col min="8" max="8" width="13.6640625" customWidth="1"/>
  </cols>
  <sheetData>
    <row r="1" spans="1:8">
      <c r="A1" s="1" t="s">
        <v>0</v>
      </c>
      <c r="B1" s="1">
        <f>2*SQRT(2*LN(2))</f>
        <v>2.3548200450309493</v>
      </c>
    </row>
    <row r="2" spans="1:8" ht="15.75" customHeight="1">
      <c r="A2" s="2" t="s">
        <v>1</v>
      </c>
    </row>
    <row r="3" spans="1:8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5" t="s">
        <v>8</v>
      </c>
      <c r="H3" s="5"/>
    </row>
    <row r="4" spans="1:8">
      <c r="A4" s="6">
        <v>120</v>
      </c>
      <c r="B4" s="7">
        <v>0.6</v>
      </c>
      <c r="C4" s="6">
        <v>205</v>
      </c>
      <c r="D4" s="7"/>
      <c r="E4" s="6">
        <v>305</v>
      </c>
      <c r="F4" s="7"/>
      <c r="G4" s="8">
        <f>A4/A6*(E6/$B$1/0.1)^2</f>
        <v>33.266953267455079</v>
      </c>
      <c r="H4" s="5"/>
    </row>
    <row r="5" spans="1:8">
      <c r="A5" s="3" t="s">
        <v>9</v>
      </c>
      <c r="B5" s="4" t="s">
        <v>10</v>
      </c>
      <c r="C5" s="3" t="s">
        <v>11</v>
      </c>
      <c r="D5" s="4" t="s">
        <v>12</v>
      </c>
      <c r="E5" s="3" t="s">
        <v>13</v>
      </c>
      <c r="F5" s="4" t="s">
        <v>14</v>
      </c>
      <c r="G5" s="3" t="s">
        <v>15</v>
      </c>
      <c r="H5" s="4" t="s">
        <v>16</v>
      </c>
    </row>
    <row r="6" spans="1:8">
      <c r="A6" s="6">
        <v>43334</v>
      </c>
      <c r="B6" s="9">
        <v>208</v>
      </c>
      <c r="C6" s="6">
        <v>32493</v>
      </c>
      <c r="D6" s="7">
        <v>475</v>
      </c>
      <c r="E6" s="6">
        <v>25.81</v>
      </c>
      <c r="F6" s="7"/>
      <c r="G6" s="6">
        <v>252.36</v>
      </c>
      <c r="H6" s="7">
        <f>A8/SQRT(A6)</f>
        <v>5.2652123467351784E-2</v>
      </c>
    </row>
    <row r="7" spans="1:8">
      <c r="A7" s="3" t="s">
        <v>17</v>
      </c>
      <c r="B7" s="10" t="s">
        <v>18</v>
      </c>
      <c r="C7" s="5"/>
      <c r="D7" s="5"/>
      <c r="E7" s="5"/>
      <c r="F7" s="5"/>
      <c r="G7" s="5"/>
      <c r="H7" s="5"/>
    </row>
    <row r="8" spans="1:8">
      <c r="A8" s="6">
        <f t="shared" ref="A8:B8" si="0">E6/$B$1</f>
        <v>10.960497832716886</v>
      </c>
      <c r="B8" s="7">
        <f t="shared" si="0"/>
        <v>0</v>
      </c>
      <c r="C8" s="5"/>
      <c r="D8" s="5"/>
      <c r="E8" s="5"/>
      <c r="F8" s="5"/>
      <c r="G8" s="5"/>
      <c r="H8" s="5"/>
    </row>
    <row r="9" spans="1:8">
      <c r="B9" s="11" t="s">
        <v>19</v>
      </c>
      <c r="C9" s="12" t="s">
        <v>20</v>
      </c>
      <c r="D9" s="11" t="s">
        <v>21</v>
      </c>
      <c r="E9" s="12" t="s">
        <v>22</v>
      </c>
      <c r="G9" s="1" t="s">
        <v>70</v>
      </c>
    </row>
    <row r="10" spans="1:8">
      <c r="A10" s="1" t="s">
        <v>23</v>
      </c>
      <c r="B10" s="13">
        <f>G6-3*A8</f>
        <v>219.47850650184935</v>
      </c>
      <c r="C10" s="13">
        <f>H6+3*B8</f>
        <v>5.2652123467351784E-2</v>
      </c>
      <c r="D10" s="13">
        <f t="shared" ref="D10:E10" si="1">G6+3*A8</f>
        <v>285.2414934981507</v>
      </c>
      <c r="E10" s="13">
        <f t="shared" si="1"/>
        <v>5.2652123467351784E-2</v>
      </c>
    </row>
    <row r="11" spans="1:8">
      <c r="A11" s="1" t="s">
        <v>24</v>
      </c>
      <c r="B11" s="13">
        <v>2.2400000000000002</v>
      </c>
      <c r="C11" s="13">
        <v>0.01</v>
      </c>
      <c r="D11" s="23">
        <v>2.9</v>
      </c>
      <c r="E11" s="13">
        <v>0.01</v>
      </c>
      <c r="F11" s="1" t="s">
        <v>71</v>
      </c>
    </row>
    <row r="12" spans="1:8">
      <c r="A12" s="1" t="s">
        <v>25</v>
      </c>
      <c r="B12" s="13">
        <v>1.92</v>
      </c>
      <c r="C12" s="13">
        <v>0.01</v>
      </c>
      <c r="D12" s="13">
        <v>2.41</v>
      </c>
      <c r="E12" s="13">
        <v>0.01</v>
      </c>
    </row>
    <row r="13" spans="1:8" ht="15.75" customHeight="1">
      <c r="A13" s="2" t="s">
        <v>26</v>
      </c>
    </row>
    <row r="14" spans="1:8">
      <c r="A14" s="3" t="s">
        <v>2</v>
      </c>
      <c r="B14" s="4" t="s">
        <v>3</v>
      </c>
      <c r="C14" s="3" t="s">
        <v>4</v>
      </c>
      <c r="D14" s="4" t="s">
        <v>5</v>
      </c>
      <c r="E14" s="3" t="s">
        <v>6</v>
      </c>
      <c r="F14" s="4" t="s">
        <v>7</v>
      </c>
      <c r="G14" s="5" t="s">
        <v>8</v>
      </c>
    </row>
    <row r="15" spans="1:8">
      <c r="A15" s="6">
        <v>120</v>
      </c>
      <c r="B15" s="7"/>
      <c r="C15" s="6">
        <v>209</v>
      </c>
      <c r="D15" s="7"/>
      <c r="E15" s="6">
        <v>289</v>
      </c>
      <c r="F15" s="7"/>
      <c r="G15" s="8">
        <f>A15/A17*(E17/$B$1/0.1)^2</f>
        <v>45.888982563228431</v>
      </c>
    </row>
    <row r="16" spans="1:8" ht="13.2">
      <c r="A16" s="3" t="s">
        <v>9</v>
      </c>
      <c r="B16" s="4" t="s">
        <v>10</v>
      </c>
      <c r="C16" s="3" t="s">
        <v>11</v>
      </c>
      <c r="D16" s="4" t="s">
        <v>12</v>
      </c>
      <c r="E16" s="3" t="s">
        <v>13</v>
      </c>
      <c r="F16" s="4" t="s">
        <v>14</v>
      </c>
      <c r="G16" s="3" t="s">
        <v>15</v>
      </c>
      <c r="H16" s="4" t="s">
        <v>16</v>
      </c>
    </row>
    <row r="17" spans="1:8" ht="13.2">
      <c r="A17" s="6">
        <v>38925</v>
      </c>
      <c r="B17" s="7">
        <v>197</v>
      </c>
      <c r="C17" s="6">
        <v>30893</v>
      </c>
      <c r="D17" s="7">
        <v>384</v>
      </c>
      <c r="E17" s="6">
        <v>28.73</v>
      </c>
      <c r="F17" s="7"/>
      <c r="G17" s="6">
        <v>252.66</v>
      </c>
      <c r="H17" s="7">
        <f>A19/SQRT(A17)</f>
        <v>6.183916138070629E-2</v>
      </c>
    </row>
    <row r="18" spans="1:8" ht="13.8">
      <c r="A18" s="3" t="s">
        <v>17</v>
      </c>
      <c r="B18" s="10" t="s">
        <v>18</v>
      </c>
      <c r="C18" s="5"/>
      <c r="D18" s="5"/>
      <c r="E18" s="5"/>
      <c r="F18" s="5"/>
      <c r="G18" s="5"/>
      <c r="H18" s="5"/>
    </row>
    <row r="19" spans="1:8" ht="13.2">
      <c r="A19" s="6">
        <f t="shared" ref="A19:B19" si="2">E17/$B$1</f>
        <v>12.200507661137394</v>
      </c>
      <c r="B19" s="7">
        <f t="shared" si="2"/>
        <v>0</v>
      </c>
    </row>
    <row r="20" spans="1:8" ht="13.8">
      <c r="B20" s="11" t="s">
        <v>19</v>
      </c>
      <c r="C20" s="12" t="s">
        <v>20</v>
      </c>
      <c r="D20" s="11" t="s">
        <v>21</v>
      </c>
      <c r="E20" s="12" t="s">
        <v>22</v>
      </c>
      <c r="G20" s="1" t="s">
        <v>72</v>
      </c>
    </row>
    <row r="21" spans="1:8" ht="13.2">
      <c r="A21" s="1" t="s">
        <v>23</v>
      </c>
      <c r="B21" s="13">
        <f>G17-3*A19</f>
        <v>216.0584770165878</v>
      </c>
      <c r="C21" s="13">
        <f>H17+3*B19</f>
        <v>6.183916138070629E-2</v>
      </c>
      <c r="D21" s="13">
        <f t="shared" ref="D21:E21" si="3">G17+3*A19</f>
        <v>289.26152298341219</v>
      </c>
      <c r="E21" s="13">
        <f t="shared" si="3"/>
        <v>6.183916138070629E-2</v>
      </c>
      <c r="F21" s="5"/>
      <c r="G21" s="5"/>
      <c r="H21" s="5"/>
    </row>
    <row r="22" spans="1:8" ht="13.2">
      <c r="A22" s="1" t="s">
        <v>24</v>
      </c>
      <c r="B22" s="13">
        <v>2.27</v>
      </c>
      <c r="C22" s="13">
        <v>0.01</v>
      </c>
      <c r="D22" s="13">
        <v>2.98</v>
      </c>
      <c r="E22" s="13">
        <v>0.01</v>
      </c>
      <c r="F22" s="5" t="s">
        <v>71</v>
      </c>
      <c r="G22" s="5"/>
      <c r="H22" s="5"/>
    </row>
    <row r="23" spans="1:8" ht="13.2">
      <c r="A23" s="1" t="s">
        <v>25</v>
      </c>
      <c r="B23" s="23">
        <v>1.91</v>
      </c>
      <c r="C23" s="13">
        <v>0.01</v>
      </c>
      <c r="D23" s="13">
        <v>2.4700000000000002</v>
      </c>
      <c r="E23" s="13">
        <v>0.01</v>
      </c>
      <c r="F23" s="5"/>
      <c r="G23" s="5"/>
      <c r="H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O28"/>
  <sheetViews>
    <sheetView zoomScale="80" zoomScaleNormal="80" workbookViewId="0">
      <selection activeCell="X1" sqref="X1:Y28"/>
    </sheetView>
  </sheetViews>
  <sheetFormatPr defaultColWidth="12.6640625" defaultRowHeight="15.75" customHeight="1"/>
  <cols>
    <col min="1" max="1" width="4.88671875" customWidth="1"/>
    <col min="2" max="10" width="5.77734375" customWidth="1"/>
    <col min="13" max="13" width="6.88671875" customWidth="1"/>
    <col min="15" max="15" width="6.6640625" customWidth="1"/>
    <col min="17" max="17" width="7.21875" customWidth="1"/>
    <col min="18" max="18" width="10.21875" customWidth="1"/>
    <col min="19" max="21" width="7.109375" customWidth="1"/>
    <col min="23" max="23" width="6.44140625" customWidth="1"/>
    <col min="24" max="24" width="8" customWidth="1"/>
    <col min="25" max="25" width="6.77734375" customWidth="1"/>
  </cols>
  <sheetData>
    <row r="1" spans="1:41">
      <c r="A1" s="15" t="s">
        <v>38</v>
      </c>
      <c r="B1" s="15" t="s">
        <v>39</v>
      </c>
      <c r="C1" s="16" t="s">
        <v>40</v>
      </c>
      <c r="D1" s="16" t="s">
        <v>41</v>
      </c>
      <c r="E1" s="16">
        <v>0.01</v>
      </c>
      <c r="F1" s="16" t="s">
        <v>42</v>
      </c>
      <c r="G1" s="16" t="s">
        <v>43</v>
      </c>
      <c r="H1" s="16" t="s">
        <v>44</v>
      </c>
      <c r="I1" s="16" t="s">
        <v>45</v>
      </c>
      <c r="J1" s="16" t="s">
        <v>46</v>
      </c>
      <c r="K1" s="15"/>
      <c r="L1" s="15" t="s">
        <v>47</v>
      </c>
      <c r="M1" s="15" t="s">
        <v>44</v>
      </c>
      <c r="N1" s="15" t="s">
        <v>48</v>
      </c>
      <c r="O1" s="15" t="s">
        <v>44</v>
      </c>
      <c r="P1" s="15" t="s">
        <v>49</v>
      </c>
      <c r="Q1" s="15" t="s">
        <v>44</v>
      </c>
      <c r="R1" s="15" t="s">
        <v>50</v>
      </c>
      <c r="S1" s="15" t="s">
        <v>44</v>
      </c>
      <c r="T1" s="15"/>
      <c r="U1" s="15" t="s">
        <v>51</v>
      </c>
      <c r="V1" s="1" t="s">
        <v>52</v>
      </c>
      <c r="W1" s="1" t="s">
        <v>53</v>
      </c>
      <c r="X1" s="15" t="s">
        <v>50</v>
      </c>
      <c r="Y1" s="15" t="s">
        <v>44</v>
      </c>
    </row>
    <row r="2" spans="1:41">
      <c r="A2" s="17">
        <v>-20</v>
      </c>
      <c r="B2" s="17">
        <v>120</v>
      </c>
      <c r="C2" s="17">
        <v>2</v>
      </c>
      <c r="D2" s="17">
        <v>2</v>
      </c>
      <c r="E2" s="17">
        <v>0.01</v>
      </c>
      <c r="F2" s="18">
        <f t="shared" ref="F2:F28" si="0">E2*C2*10^D2</f>
        <v>2</v>
      </c>
      <c r="G2" s="17" t="s">
        <v>54</v>
      </c>
      <c r="H2" s="17">
        <v>0.01</v>
      </c>
      <c r="I2" s="18">
        <f t="shared" ref="I2:I28" si="1">IF(G2="min",F2*60,F2)</f>
        <v>120</v>
      </c>
      <c r="J2" s="18">
        <f t="shared" ref="J2:J28" si="2">IF(G2="min",H2*60,H2)</f>
        <v>0.6</v>
      </c>
      <c r="K2" s="17">
        <f t="shared" ref="K2:K28" si="3">J2/I2*100</f>
        <v>0.5</v>
      </c>
      <c r="L2" s="17">
        <v>39861</v>
      </c>
      <c r="M2" s="17">
        <f t="shared" ref="M2:M28" si="4">ROUND( SQRT(L2),0)</f>
        <v>200</v>
      </c>
      <c r="N2" s="17">
        <v>37453</v>
      </c>
      <c r="O2" s="17">
        <f t="shared" ref="O2:O28" si="5">ROUND( SQRT(N2),0)</f>
        <v>194</v>
      </c>
      <c r="P2" s="17">
        <v>102</v>
      </c>
      <c r="Q2" s="17">
        <f t="shared" ref="Q2:Q28" si="6">ROUND( SQRT(P2),0)</f>
        <v>10</v>
      </c>
      <c r="R2" s="17">
        <f t="shared" ref="R2:R4" si="7">P2/I2</f>
        <v>0.85</v>
      </c>
      <c r="S2" s="17">
        <f t="shared" ref="S2:S28" si="8">ABS(Q2/I2) + ABS(P2/I2/I2*J2)</f>
        <v>8.7583333333333332E-2</v>
      </c>
      <c r="T2" s="17"/>
      <c r="U2" s="17">
        <v>3</v>
      </c>
      <c r="V2" s="17"/>
      <c r="W2" s="19">
        <f t="shared" ref="W2:W28" si="9">A2</f>
        <v>-20</v>
      </c>
      <c r="X2" s="24">
        <f t="shared" ref="X2:X28" si="10">ROUND(R2,U2)</f>
        <v>0.85</v>
      </c>
      <c r="Y2" s="19">
        <f t="shared" ref="Y2:Y28" si="11">ROUND(S2,U2)</f>
        <v>8.7999999999999995E-2</v>
      </c>
      <c r="Z2" s="17"/>
      <c r="AA2" s="17">
        <f t="shared" ref="AA2:AA28" si="12">W2*PI()/180</f>
        <v>-0.3490658503988659</v>
      </c>
      <c r="AB2" s="25">
        <f t="shared" ref="AB2:AB28" si="13">X2</f>
        <v>0.85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41">
      <c r="A3" s="17">
        <v>-15</v>
      </c>
      <c r="B3" s="17">
        <v>60</v>
      </c>
      <c r="C3" s="17">
        <v>1</v>
      </c>
      <c r="D3" s="17">
        <v>2</v>
      </c>
      <c r="E3" s="17">
        <v>0.01</v>
      </c>
      <c r="F3" s="18">
        <f t="shared" si="0"/>
        <v>1</v>
      </c>
      <c r="G3" s="17" t="s">
        <v>54</v>
      </c>
      <c r="H3" s="17">
        <v>0.01</v>
      </c>
      <c r="I3" s="18">
        <f t="shared" si="1"/>
        <v>60</v>
      </c>
      <c r="J3" s="18">
        <f t="shared" si="2"/>
        <v>0.6</v>
      </c>
      <c r="K3" s="17">
        <f t="shared" si="3"/>
        <v>1</v>
      </c>
      <c r="L3" s="17">
        <v>19751</v>
      </c>
      <c r="M3" s="17">
        <f t="shared" si="4"/>
        <v>141</v>
      </c>
      <c r="N3" s="17">
        <v>18862</v>
      </c>
      <c r="O3" s="17">
        <f t="shared" si="5"/>
        <v>137</v>
      </c>
      <c r="P3" s="17">
        <v>178</v>
      </c>
      <c r="Q3" s="17">
        <f t="shared" si="6"/>
        <v>13</v>
      </c>
      <c r="R3" s="17">
        <f t="shared" si="7"/>
        <v>2.9666666666666668</v>
      </c>
      <c r="S3" s="17">
        <f t="shared" si="8"/>
        <v>0.24633333333333335</v>
      </c>
      <c r="T3" s="17"/>
      <c r="U3" s="17">
        <v>2</v>
      </c>
      <c r="V3" s="17"/>
      <c r="W3" s="19">
        <f t="shared" si="9"/>
        <v>-15</v>
      </c>
      <c r="X3" s="19">
        <f t="shared" si="10"/>
        <v>2.97</v>
      </c>
      <c r="Y3" s="19">
        <f t="shared" si="11"/>
        <v>0.25</v>
      </c>
      <c r="Z3" s="17"/>
      <c r="AA3" s="17">
        <f t="shared" si="12"/>
        <v>-0.26179938779914941</v>
      </c>
      <c r="AB3" s="17">
        <f t="shared" si="13"/>
        <v>2.97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1:41">
      <c r="A4" s="17">
        <v>-12</v>
      </c>
      <c r="B4" s="17">
        <v>60</v>
      </c>
      <c r="C4" s="17">
        <v>6</v>
      </c>
      <c r="D4" s="17">
        <v>3</v>
      </c>
      <c r="E4" s="17">
        <v>0.01</v>
      </c>
      <c r="F4" s="18">
        <f t="shared" si="0"/>
        <v>60</v>
      </c>
      <c r="G4" s="17" t="s">
        <v>55</v>
      </c>
      <c r="H4" s="17">
        <v>0.01</v>
      </c>
      <c r="I4" s="18">
        <f t="shared" si="1"/>
        <v>60</v>
      </c>
      <c r="J4" s="18">
        <f t="shared" si="2"/>
        <v>0.01</v>
      </c>
      <c r="K4" s="17">
        <f t="shared" si="3"/>
        <v>1.6666666666666666E-2</v>
      </c>
      <c r="L4" s="17">
        <v>19950</v>
      </c>
      <c r="M4" s="17">
        <f t="shared" si="4"/>
        <v>141</v>
      </c>
      <c r="N4" s="17">
        <v>18796</v>
      </c>
      <c r="O4" s="17">
        <f t="shared" si="5"/>
        <v>137</v>
      </c>
      <c r="P4" s="17">
        <v>1097</v>
      </c>
      <c r="Q4" s="17">
        <f t="shared" si="6"/>
        <v>33</v>
      </c>
      <c r="R4" s="17">
        <f t="shared" si="7"/>
        <v>18.283333333333335</v>
      </c>
      <c r="S4" s="17">
        <f t="shared" si="8"/>
        <v>0.55304722222222225</v>
      </c>
      <c r="T4" s="17"/>
      <c r="U4" s="17">
        <v>2</v>
      </c>
      <c r="V4" s="17"/>
      <c r="W4" s="19">
        <f t="shared" si="9"/>
        <v>-12</v>
      </c>
      <c r="X4" s="19">
        <f t="shared" si="10"/>
        <v>18.28</v>
      </c>
      <c r="Y4" s="19">
        <f t="shared" si="11"/>
        <v>0.55000000000000004</v>
      </c>
      <c r="Z4" s="17"/>
      <c r="AA4" s="17">
        <f t="shared" si="12"/>
        <v>-0.20943951023931953</v>
      </c>
      <c r="AB4" s="17">
        <f t="shared" si="13"/>
        <v>18.28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1">
      <c r="A5" s="1">
        <v>-10</v>
      </c>
      <c r="B5" s="1">
        <v>20</v>
      </c>
      <c r="C5" s="1">
        <v>2</v>
      </c>
      <c r="D5" s="1">
        <v>3</v>
      </c>
      <c r="E5" s="17">
        <v>0.01</v>
      </c>
      <c r="F5" s="18">
        <f t="shared" si="0"/>
        <v>20</v>
      </c>
      <c r="G5" s="1" t="s">
        <v>55</v>
      </c>
      <c r="H5" s="17">
        <v>0.01</v>
      </c>
      <c r="I5" s="18">
        <f t="shared" si="1"/>
        <v>20</v>
      </c>
      <c r="J5" s="18">
        <f t="shared" si="2"/>
        <v>0.01</v>
      </c>
      <c r="K5" s="17">
        <f t="shared" si="3"/>
        <v>0.05</v>
      </c>
      <c r="L5" s="1">
        <v>6576</v>
      </c>
      <c r="M5" s="17">
        <f t="shared" si="4"/>
        <v>81</v>
      </c>
      <c r="N5" s="1">
        <v>6263</v>
      </c>
      <c r="O5" s="17">
        <f t="shared" si="5"/>
        <v>79</v>
      </c>
      <c r="P5" s="1">
        <v>702</v>
      </c>
      <c r="Q5" s="17">
        <f t="shared" si="6"/>
        <v>26</v>
      </c>
      <c r="R5" s="1">
        <f t="shared" ref="R5:R28" si="14">P5/B5</f>
        <v>35.1</v>
      </c>
      <c r="S5" s="17">
        <f t="shared" si="8"/>
        <v>1.31755</v>
      </c>
      <c r="U5" s="1">
        <v>1</v>
      </c>
      <c r="W5" s="19">
        <f t="shared" si="9"/>
        <v>-10</v>
      </c>
      <c r="X5" s="26">
        <f t="shared" si="10"/>
        <v>35.1</v>
      </c>
      <c r="Y5" s="19">
        <f t="shared" si="11"/>
        <v>1.3</v>
      </c>
      <c r="AA5" s="17">
        <f t="shared" si="12"/>
        <v>-0.17453292519943295</v>
      </c>
      <c r="AB5" s="27">
        <f t="shared" si="13"/>
        <v>35.1</v>
      </c>
    </row>
    <row r="6" spans="1:41">
      <c r="A6" s="1">
        <v>-9</v>
      </c>
      <c r="B6" s="1">
        <v>20</v>
      </c>
      <c r="C6" s="1">
        <v>2</v>
      </c>
      <c r="D6" s="1">
        <v>3</v>
      </c>
      <c r="E6" s="17">
        <v>0.01</v>
      </c>
      <c r="F6" s="18">
        <f t="shared" si="0"/>
        <v>20</v>
      </c>
      <c r="G6" s="1" t="s">
        <v>55</v>
      </c>
      <c r="H6" s="17">
        <v>0.01</v>
      </c>
      <c r="I6" s="18">
        <f t="shared" si="1"/>
        <v>20</v>
      </c>
      <c r="J6" s="18">
        <f t="shared" si="2"/>
        <v>0.01</v>
      </c>
      <c r="K6" s="17">
        <f t="shared" si="3"/>
        <v>0.05</v>
      </c>
      <c r="L6" s="1">
        <v>6730</v>
      </c>
      <c r="M6" s="17">
        <f t="shared" si="4"/>
        <v>82</v>
      </c>
      <c r="N6" s="1">
        <v>6248</v>
      </c>
      <c r="O6" s="17">
        <f t="shared" si="5"/>
        <v>79</v>
      </c>
      <c r="P6" s="1">
        <v>893</v>
      </c>
      <c r="Q6" s="17">
        <f t="shared" si="6"/>
        <v>30</v>
      </c>
      <c r="R6" s="1">
        <f t="shared" si="14"/>
        <v>44.65</v>
      </c>
      <c r="S6" s="17">
        <f t="shared" si="8"/>
        <v>1.5223249999999999</v>
      </c>
      <c r="U6" s="1">
        <v>1</v>
      </c>
      <c r="W6" s="19">
        <f t="shared" si="9"/>
        <v>-9</v>
      </c>
      <c r="X6" s="26">
        <f t="shared" si="10"/>
        <v>44.7</v>
      </c>
      <c r="Y6" s="19">
        <f t="shared" si="11"/>
        <v>1.5</v>
      </c>
      <c r="AA6" s="17">
        <f t="shared" si="12"/>
        <v>-0.15707963267948966</v>
      </c>
      <c r="AB6" s="27">
        <f t="shared" si="13"/>
        <v>44.7</v>
      </c>
    </row>
    <row r="7" spans="1:41">
      <c r="A7" s="1">
        <v>-8</v>
      </c>
      <c r="B7" s="1">
        <v>20</v>
      </c>
      <c r="C7" s="1">
        <v>2</v>
      </c>
      <c r="D7" s="1">
        <v>3</v>
      </c>
      <c r="E7" s="17">
        <v>0.01</v>
      </c>
      <c r="F7" s="18">
        <f t="shared" si="0"/>
        <v>20</v>
      </c>
      <c r="G7" s="1" t="s">
        <v>55</v>
      </c>
      <c r="H7" s="17">
        <v>0.01</v>
      </c>
      <c r="I7" s="18">
        <f t="shared" si="1"/>
        <v>20</v>
      </c>
      <c r="J7" s="18">
        <f t="shared" si="2"/>
        <v>0.01</v>
      </c>
      <c r="K7" s="17">
        <f t="shared" si="3"/>
        <v>0.05</v>
      </c>
      <c r="L7" s="1">
        <v>6591</v>
      </c>
      <c r="M7" s="17">
        <f t="shared" si="4"/>
        <v>81</v>
      </c>
      <c r="N7" s="1">
        <v>6214</v>
      </c>
      <c r="O7" s="17">
        <f t="shared" si="5"/>
        <v>79</v>
      </c>
      <c r="P7" s="1">
        <v>1060</v>
      </c>
      <c r="Q7" s="17">
        <f t="shared" si="6"/>
        <v>33</v>
      </c>
      <c r="R7" s="1">
        <f t="shared" si="14"/>
        <v>53</v>
      </c>
      <c r="S7" s="17">
        <f t="shared" si="8"/>
        <v>1.6764999999999999</v>
      </c>
      <c r="U7" s="1">
        <v>1</v>
      </c>
      <c r="W7" s="19">
        <f t="shared" si="9"/>
        <v>-8</v>
      </c>
      <c r="X7" s="26">
        <f t="shared" si="10"/>
        <v>53</v>
      </c>
      <c r="Y7" s="19">
        <f t="shared" si="11"/>
        <v>1.7</v>
      </c>
      <c r="AA7" s="17">
        <f t="shared" si="12"/>
        <v>-0.13962634015954636</v>
      </c>
      <c r="AB7" s="27">
        <f t="shared" si="13"/>
        <v>53</v>
      </c>
    </row>
    <row r="8" spans="1:41">
      <c r="A8" s="1">
        <v>-7</v>
      </c>
      <c r="B8" s="1">
        <v>20</v>
      </c>
      <c r="C8" s="1">
        <v>2</v>
      </c>
      <c r="D8" s="1">
        <v>3</v>
      </c>
      <c r="E8" s="17">
        <v>0.01</v>
      </c>
      <c r="F8" s="18">
        <f t="shared" si="0"/>
        <v>20</v>
      </c>
      <c r="G8" s="1" t="s">
        <v>55</v>
      </c>
      <c r="H8" s="17">
        <v>0.01</v>
      </c>
      <c r="I8" s="18">
        <f t="shared" si="1"/>
        <v>20</v>
      </c>
      <c r="J8" s="18">
        <f t="shared" si="2"/>
        <v>0.01</v>
      </c>
      <c r="K8" s="17">
        <f t="shared" si="3"/>
        <v>0.05</v>
      </c>
      <c r="L8" s="1">
        <v>6643</v>
      </c>
      <c r="M8" s="17">
        <f t="shared" si="4"/>
        <v>82</v>
      </c>
      <c r="N8" s="1">
        <v>6354</v>
      </c>
      <c r="O8" s="17">
        <f t="shared" si="5"/>
        <v>80</v>
      </c>
      <c r="P8" s="1">
        <v>1260</v>
      </c>
      <c r="Q8" s="17">
        <f t="shared" si="6"/>
        <v>35</v>
      </c>
      <c r="R8" s="1">
        <f t="shared" si="14"/>
        <v>63</v>
      </c>
      <c r="S8" s="17">
        <f t="shared" si="8"/>
        <v>1.7815000000000001</v>
      </c>
      <c r="U8" s="1">
        <v>1</v>
      </c>
      <c r="W8" s="19">
        <f t="shared" si="9"/>
        <v>-7</v>
      </c>
      <c r="X8" s="26">
        <f t="shared" si="10"/>
        <v>63</v>
      </c>
      <c r="Y8" s="19">
        <f t="shared" si="11"/>
        <v>1.8</v>
      </c>
      <c r="AA8" s="17">
        <f t="shared" si="12"/>
        <v>-0.12217304763960307</v>
      </c>
      <c r="AB8" s="27">
        <f t="shared" si="13"/>
        <v>63</v>
      </c>
    </row>
    <row r="9" spans="1:41">
      <c r="A9" s="1">
        <v>-6</v>
      </c>
      <c r="B9" s="1">
        <v>20</v>
      </c>
      <c r="C9" s="1">
        <v>2</v>
      </c>
      <c r="D9" s="1">
        <v>3</v>
      </c>
      <c r="E9" s="17">
        <v>0.01</v>
      </c>
      <c r="F9" s="18">
        <f t="shared" si="0"/>
        <v>20</v>
      </c>
      <c r="G9" s="1" t="s">
        <v>55</v>
      </c>
      <c r="H9" s="17">
        <v>0.01</v>
      </c>
      <c r="I9" s="18">
        <f t="shared" si="1"/>
        <v>20</v>
      </c>
      <c r="J9" s="18">
        <f t="shared" si="2"/>
        <v>0.01</v>
      </c>
      <c r="K9" s="17">
        <f t="shared" si="3"/>
        <v>0.05</v>
      </c>
      <c r="L9" s="1">
        <v>6583</v>
      </c>
      <c r="M9" s="17">
        <f t="shared" si="4"/>
        <v>81</v>
      </c>
      <c r="N9" s="1">
        <v>6346</v>
      </c>
      <c r="O9" s="17">
        <f t="shared" si="5"/>
        <v>80</v>
      </c>
      <c r="P9" s="1">
        <v>1421</v>
      </c>
      <c r="Q9" s="17">
        <f t="shared" si="6"/>
        <v>38</v>
      </c>
      <c r="R9" s="1">
        <f t="shared" si="14"/>
        <v>71.05</v>
      </c>
      <c r="S9" s="17">
        <f t="shared" si="8"/>
        <v>1.9355249999999999</v>
      </c>
      <c r="U9" s="1">
        <v>1</v>
      </c>
      <c r="W9" s="19">
        <f t="shared" si="9"/>
        <v>-6</v>
      </c>
      <c r="X9" s="26">
        <f t="shared" si="10"/>
        <v>71.099999999999994</v>
      </c>
      <c r="Y9" s="19">
        <f t="shared" si="11"/>
        <v>1.9</v>
      </c>
      <c r="AA9" s="17">
        <f t="shared" si="12"/>
        <v>-0.10471975511965977</v>
      </c>
      <c r="AB9" s="27">
        <f t="shared" si="13"/>
        <v>71.099999999999994</v>
      </c>
    </row>
    <row r="10" spans="1:41">
      <c r="A10" s="1">
        <v>-5</v>
      </c>
      <c r="B10" s="1">
        <v>20</v>
      </c>
      <c r="C10" s="1">
        <v>2</v>
      </c>
      <c r="D10" s="1">
        <v>3</v>
      </c>
      <c r="E10" s="17">
        <v>0.01</v>
      </c>
      <c r="F10" s="18">
        <f t="shared" si="0"/>
        <v>20</v>
      </c>
      <c r="G10" s="1" t="s">
        <v>55</v>
      </c>
      <c r="H10" s="17">
        <v>0.01</v>
      </c>
      <c r="I10" s="18">
        <f t="shared" si="1"/>
        <v>20</v>
      </c>
      <c r="J10" s="18">
        <f t="shared" si="2"/>
        <v>0.01</v>
      </c>
      <c r="K10" s="17">
        <f t="shared" si="3"/>
        <v>0.05</v>
      </c>
      <c r="L10" s="1">
        <v>6498</v>
      </c>
      <c r="M10" s="17">
        <f t="shared" si="4"/>
        <v>81</v>
      </c>
      <c r="N10" s="1">
        <v>6371</v>
      </c>
      <c r="O10" s="17">
        <f t="shared" si="5"/>
        <v>80</v>
      </c>
      <c r="P10" s="1">
        <v>1517</v>
      </c>
      <c r="Q10" s="17">
        <f t="shared" si="6"/>
        <v>39</v>
      </c>
      <c r="R10" s="1">
        <f t="shared" si="14"/>
        <v>75.849999999999994</v>
      </c>
      <c r="S10" s="17">
        <f t="shared" si="8"/>
        <v>1.9879249999999999</v>
      </c>
      <c r="U10" s="1">
        <v>1</v>
      </c>
      <c r="W10" s="19">
        <f t="shared" si="9"/>
        <v>-5</v>
      </c>
      <c r="X10" s="26">
        <f t="shared" si="10"/>
        <v>75.900000000000006</v>
      </c>
      <c r="Y10" s="26">
        <f t="shared" si="11"/>
        <v>2</v>
      </c>
      <c r="AA10" s="17">
        <f t="shared" si="12"/>
        <v>-8.7266462599716474E-2</v>
      </c>
      <c r="AB10" s="27">
        <f t="shared" si="13"/>
        <v>75.900000000000006</v>
      </c>
    </row>
    <row r="11" spans="1:41">
      <c r="A11" s="1">
        <v>-4</v>
      </c>
      <c r="B11" s="1">
        <v>20</v>
      </c>
      <c r="C11" s="1">
        <v>2</v>
      </c>
      <c r="D11" s="1">
        <v>3</v>
      </c>
      <c r="E11" s="17">
        <v>0.01</v>
      </c>
      <c r="F11" s="18">
        <f t="shared" si="0"/>
        <v>20</v>
      </c>
      <c r="G11" s="1" t="s">
        <v>55</v>
      </c>
      <c r="H11" s="17">
        <v>0.01</v>
      </c>
      <c r="I11" s="18">
        <f t="shared" si="1"/>
        <v>20</v>
      </c>
      <c r="J11" s="18">
        <f t="shared" si="2"/>
        <v>0.01</v>
      </c>
      <c r="K11" s="17">
        <f t="shared" si="3"/>
        <v>0.05</v>
      </c>
      <c r="L11" s="1">
        <v>6581</v>
      </c>
      <c r="M11" s="17">
        <f t="shared" si="4"/>
        <v>81</v>
      </c>
      <c r="N11" s="1">
        <v>6437</v>
      </c>
      <c r="O11" s="17">
        <f t="shared" si="5"/>
        <v>80</v>
      </c>
      <c r="P11" s="1">
        <v>1743</v>
      </c>
      <c r="Q11" s="17">
        <f t="shared" si="6"/>
        <v>42</v>
      </c>
      <c r="R11" s="1">
        <f t="shared" si="14"/>
        <v>87.15</v>
      </c>
      <c r="S11" s="17">
        <f t="shared" si="8"/>
        <v>2.1435750000000002</v>
      </c>
      <c r="U11" s="1">
        <v>1</v>
      </c>
      <c r="W11" s="19">
        <f t="shared" si="9"/>
        <v>-4</v>
      </c>
      <c r="X11" s="26">
        <f t="shared" si="10"/>
        <v>87.2</v>
      </c>
      <c r="Y11" s="19">
        <f t="shared" si="11"/>
        <v>2.1</v>
      </c>
      <c r="AA11" s="17">
        <f t="shared" si="12"/>
        <v>-6.9813170079773182E-2</v>
      </c>
      <c r="AB11" s="27">
        <f t="shared" si="13"/>
        <v>87.2</v>
      </c>
    </row>
    <row r="12" spans="1:41">
      <c r="A12" s="1">
        <v>-3</v>
      </c>
      <c r="B12" s="1">
        <v>20</v>
      </c>
      <c r="C12" s="1">
        <v>2</v>
      </c>
      <c r="D12" s="1">
        <v>3</v>
      </c>
      <c r="E12" s="17">
        <v>0.01</v>
      </c>
      <c r="F12" s="18">
        <f t="shared" si="0"/>
        <v>20</v>
      </c>
      <c r="G12" s="1" t="s">
        <v>55</v>
      </c>
      <c r="H12" s="17">
        <v>0.01</v>
      </c>
      <c r="I12" s="18">
        <f t="shared" si="1"/>
        <v>20</v>
      </c>
      <c r="J12" s="18">
        <f t="shared" si="2"/>
        <v>0.01</v>
      </c>
      <c r="K12" s="17">
        <f t="shared" si="3"/>
        <v>0.05</v>
      </c>
      <c r="L12" s="1">
        <v>6616</v>
      </c>
      <c r="M12" s="17">
        <f t="shared" si="4"/>
        <v>81</v>
      </c>
      <c r="N12" s="1">
        <v>6342</v>
      </c>
      <c r="O12" s="17">
        <f t="shared" si="5"/>
        <v>80</v>
      </c>
      <c r="P12" s="1">
        <v>1825</v>
      </c>
      <c r="Q12" s="17">
        <f t="shared" si="6"/>
        <v>43</v>
      </c>
      <c r="R12" s="1">
        <f t="shared" si="14"/>
        <v>91.25</v>
      </c>
      <c r="S12" s="17">
        <f t="shared" si="8"/>
        <v>2.1956249999999997</v>
      </c>
      <c r="U12" s="1">
        <v>2</v>
      </c>
      <c r="W12" s="19">
        <f t="shared" si="9"/>
        <v>-3</v>
      </c>
      <c r="X12" s="26">
        <f t="shared" si="10"/>
        <v>91.25</v>
      </c>
      <c r="Y12" s="19">
        <f t="shared" si="11"/>
        <v>2.2000000000000002</v>
      </c>
      <c r="AA12" s="17">
        <f t="shared" si="12"/>
        <v>-5.2359877559829883E-2</v>
      </c>
      <c r="AB12" s="27">
        <f t="shared" si="13"/>
        <v>91.25</v>
      </c>
    </row>
    <row r="13" spans="1:41">
      <c r="A13" s="1">
        <v>-2</v>
      </c>
      <c r="B13" s="1">
        <v>20</v>
      </c>
      <c r="C13" s="1">
        <v>2</v>
      </c>
      <c r="D13" s="1">
        <v>3</v>
      </c>
      <c r="E13" s="17">
        <v>0.01</v>
      </c>
      <c r="F13" s="18">
        <f t="shared" si="0"/>
        <v>20</v>
      </c>
      <c r="G13" s="1" t="s">
        <v>55</v>
      </c>
      <c r="H13" s="17">
        <v>0.01</v>
      </c>
      <c r="I13" s="18">
        <f t="shared" si="1"/>
        <v>20</v>
      </c>
      <c r="J13" s="18">
        <f t="shared" si="2"/>
        <v>0.01</v>
      </c>
      <c r="K13" s="17">
        <f t="shared" si="3"/>
        <v>0.05</v>
      </c>
      <c r="L13" s="1">
        <v>6769</v>
      </c>
      <c r="M13" s="17">
        <f t="shared" si="4"/>
        <v>82</v>
      </c>
      <c r="N13" s="1">
        <v>6416</v>
      </c>
      <c r="O13" s="17">
        <f t="shared" si="5"/>
        <v>80</v>
      </c>
      <c r="P13" s="1">
        <v>1977</v>
      </c>
      <c r="Q13" s="17">
        <f t="shared" si="6"/>
        <v>44</v>
      </c>
      <c r="R13" s="1">
        <f t="shared" si="14"/>
        <v>98.85</v>
      </c>
      <c r="S13" s="17">
        <f t="shared" si="8"/>
        <v>2.249425</v>
      </c>
      <c r="U13" s="1">
        <v>1</v>
      </c>
      <c r="W13" s="19">
        <f t="shared" si="9"/>
        <v>-2</v>
      </c>
      <c r="X13" s="26">
        <f t="shared" si="10"/>
        <v>98.9</v>
      </c>
      <c r="Y13" s="19">
        <f t="shared" si="11"/>
        <v>2.2000000000000002</v>
      </c>
      <c r="AA13" s="17">
        <f t="shared" si="12"/>
        <v>-3.4906585039886591E-2</v>
      </c>
      <c r="AB13" s="27">
        <f t="shared" si="13"/>
        <v>98.9</v>
      </c>
    </row>
    <row r="14" spans="1:41">
      <c r="A14" s="1">
        <v>-1</v>
      </c>
      <c r="B14" s="1">
        <v>20</v>
      </c>
      <c r="C14" s="1">
        <v>2</v>
      </c>
      <c r="D14" s="1">
        <v>3</v>
      </c>
      <c r="E14" s="17">
        <v>0.01</v>
      </c>
      <c r="F14" s="18">
        <f t="shared" si="0"/>
        <v>20</v>
      </c>
      <c r="G14" s="1" t="s">
        <v>55</v>
      </c>
      <c r="H14" s="17">
        <v>0.01</v>
      </c>
      <c r="I14" s="18">
        <f t="shared" si="1"/>
        <v>20</v>
      </c>
      <c r="J14" s="18">
        <f t="shared" si="2"/>
        <v>0.01</v>
      </c>
      <c r="K14" s="17">
        <f t="shared" si="3"/>
        <v>0.05</v>
      </c>
      <c r="L14" s="1">
        <v>6516</v>
      </c>
      <c r="M14" s="17">
        <f t="shared" si="4"/>
        <v>81</v>
      </c>
      <c r="N14" s="1">
        <v>6235</v>
      </c>
      <c r="O14" s="17">
        <f t="shared" si="5"/>
        <v>79</v>
      </c>
      <c r="P14" s="1">
        <v>1876</v>
      </c>
      <c r="Q14" s="17">
        <f t="shared" si="6"/>
        <v>43</v>
      </c>
      <c r="R14" s="1">
        <f t="shared" si="14"/>
        <v>93.8</v>
      </c>
      <c r="S14" s="17">
        <f t="shared" si="8"/>
        <v>2.1968999999999999</v>
      </c>
      <c r="U14" s="1">
        <v>2</v>
      </c>
      <c r="W14" s="19">
        <f t="shared" si="9"/>
        <v>-1</v>
      </c>
      <c r="X14" s="26">
        <f t="shared" si="10"/>
        <v>93.8</v>
      </c>
      <c r="Y14" s="19">
        <f t="shared" si="11"/>
        <v>2.2000000000000002</v>
      </c>
      <c r="AA14" s="17">
        <f t="shared" si="12"/>
        <v>-1.7453292519943295E-2</v>
      </c>
      <c r="AB14" s="27">
        <f t="shared" si="13"/>
        <v>93.8</v>
      </c>
    </row>
    <row r="15" spans="1:41">
      <c r="A15" s="17">
        <v>0</v>
      </c>
      <c r="B15" s="17">
        <v>20</v>
      </c>
      <c r="C15" s="1">
        <v>2</v>
      </c>
      <c r="D15" s="1">
        <v>3</v>
      </c>
      <c r="E15" s="17">
        <v>0.01</v>
      </c>
      <c r="F15" s="18">
        <f t="shared" si="0"/>
        <v>20</v>
      </c>
      <c r="G15" s="1" t="s">
        <v>55</v>
      </c>
      <c r="H15" s="17">
        <v>0.01</v>
      </c>
      <c r="I15" s="18">
        <f t="shared" si="1"/>
        <v>20</v>
      </c>
      <c r="J15" s="18">
        <f t="shared" si="2"/>
        <v>0.01</v>
      </c>
      <c r="K15" s="17">
        <f t="shared" si="3"/>
        <v>0.05</v>
      </c>
      <c r="L15" s="17">
        <v>6649</v>
      </c>
      <c r="M15" s="17">
        <f t="shared" si="4"/>
        <v>82</v>
      </c>
      <c r="N15" s="17">
        <v>6328</v>
      </c>
      <c r="O15" s="17">
        <f t="shared" si="5"/>
        <v>80</v>
      </c>
      <c r="P15" s="17">
        <v>1828</v>
      </c>
      <c r="Q15" s="17">
        <f t="shared" si="6"/>
        <v>43</v>
      </c>
      <c r="R15" s="17">
        <f t="shared" si="14"/>
        <v>91.4</v>
      </c>
      <c r="S15" s="17">
        <f t="shared" si="8"/>
        <v>2.1957</v>
      </c>
      <c r="T15" s="17"/>
      <c r="U15" s="17">
        <v>2</v>
      </c>
      <c r="V15" s="17"/>
      <c r="W15" s="19">
        <f t="shared" si="9"/>
        <v>0</v>
      </c>
      <c r="X15" s="26">
        <f t="shared" si="10"/>
        <v>91.4</v>
      </c>
      <c r="Y15" s="19">
        <f t="shared" si="11"/>
        <v>2.2000000000000002</v>
      </c>
      <c r="Z15" s="17"/>
      <c r="AA15" s="17">
        <f t="shared" si="12"/>
        <v>0</v>
      </c>
      <c r="AB15" s="27">
        <f t="shared" si="13"/>
        <v>91.4</v>
      </c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>
      <c r="A16" s="1">
        <v>1</v>
      </c>
      <c r="B16" s="1">
        <v>20</v>
      </c>
      <c r="C16" s="1">
        <v>2</v>
      </c>
      <c r="D16" s="1">
        <v>3</v>
      </c>
      <c r="E16" s="17">
        <v>0.01</v>
      </c>
      <c r="F16" s="18">
        <f t="shared" si="0"/>
        <v>20</v>
      </c>
      <c r="G16" s="1" t="s">
        <v>55</v>
      </c>
      <c r="H16" s="17">
        <v>0.01</v>
      </c>
      <c r="I16" s="18">
        <f t="shared" si="1"/>
        <v>20</v>
      </c>
      <c r="J16" s="18">
        <f t="shared" si="2"/>
        <v>0.01</v>
      </c>
      <c r="K16" s="17">
        <f t="shared" si="3"/>
        <v>0.05</v>
      </c>
      <c r="L16" s="1">
        <v>6597</v>
      </c>
      <c r="M16" s="17">
        <f t="shared" si="4"/>
        <v>81</v>
      </c>
      <c r="N16" s="1">
        <v>6182</v>
      </c>
      <c r="O16" s="17">
        <f t="shared" si="5"/>
        <v>79</v>
      </c>
      <c r="P16" s="1">
        <v>1697</v>
      </c>
      <c r="Q16" s="17">
        <f t="shared" si="6"/>
        <v>41</v>
      </c>
      <c r="R16" s="1">
        <f t="shared" si="14"/>
        <v>84.85</v>
      </c>
      <c r="S16" s="17">
        <f t="shared" si="8"/>
        <v>2.092425</v>
      </c>
      <c r="U16" s="1">
        <v>1</v>
      </c>
      <c r="W16" s="19">
        <f t="shared" si="9"/>
        <v>1</v>
      </c>
      <c r="X16" s="26">
        <f t="shared" si="10"/>
        <v>84.9</v>
      </c>
      <c r="Y16" s="19">
        <f t="shared" si="11"/>
        <v>2.1</v>
      </c>
      <c r="AA16" s="17">
        <f t="shared" si="12"/>
        <v>1.7453292519943295E-2</v>
      </c>
      <c r="AB16" s="27">
        <f t="shared" si="13"/>
        <v>84.9</v>
      </c>
    </row>
    <row r="17" spans="1:41">
      <c r="A17" s="1">
        <v>2</v>
      </c>
      <c r="B17" s="1">
        <v>20</v>
      </c>
      <c r="C17" s="1">
        <v>2</v>
      </c>
      <c r="D17" s="1">
        <v>3</v>
      </c>
      <c r="E17" s="17">
        <v>0.01</v>
      </c>
      <c r="F17" s="18">
        <f t="shared" si="0"/>
        <v>20</v>
      </c>
      <c r="G17" s="1" t="s">
        <v>55</v>
      </c>
      <c r="H17" s="17">
        <v>0.01</v>
      </c>
      <c r="I17" s="18">
        <f t="shared" si="1"/>
        <v>20</v>
      </c>
      <c r="J17" s="18">
        <f t="shared" si="2"/>
        <v>0.01</v>
      </c>
      <c r="K17" s="17">
        <f t="shared" si="3"/>
        <v>0.05</v>
      </c>
      <c r="L17" s="1">
        <v>6612</v>
      </c>
      <c r="M17" s="17">
        <f t="shared" si="4"/>
        <v>81</v>
      </c>
      <c r="N17" s="1">
        <v>6387</v>
      </c>
      <c r="O17" s="17">
        <f t="shared" si="5"/>
        <v>80</v>
      </c>
      <c r="P17" s="1">
        <v>1561</v>
      </c>
      <c r="Q17" s="17">
        <f t="shared" si="6"/>
        <v>40</v>
      </c>
      <c r="R17" s="1">
        <f t="shared" si="14"/>
        <v>78.05</v>
      </c>
      <c r="S17" s="17">
        <f t="shared" si="8"/>
        <v>2.0390250000000001</v>
      </c>
      <c r="U17" s="1">
        <v>1</v>
      </c>
      <c r="W17" s="19">
        <f t="shared" si="9"/>
        <v>2</v>
      </c>
      <c r="X17" s="26">
        <f t="shared" si="10"/>
        <v>78.099999999999994</v>
      </c>
      <c r="Y17" s="26">
        <f t="shared" si="11"/>
        <v>2</v>
      </c>
      <c r="AA17" s="17">
        <f t="shared" si="12"/>
        <v>3.4906585039886591E-2</v>
      </c>
      <c r="AB17" s="27">
        <f t="shared" si="13"/>
        <v>78.099999999999994</v>
      </c>
    </row>
    <row r="18" spans="1:41">
      <c r="A18" s="1">
        <v>3</v>
      </c>
      <c r="B18" s="1">
        <v>20</v>
      </c>
      <c r="C18" s="1">
        <v>2</v>
      </c>
      <c r="D18" s="1">
        <v>3</v>
      </c>
      <c r="E18" s="17">
        <v>0.01</v>
      </c>
      <c r="F18" s="18">
        <f t="shared" si="0"/>
        <v>20</v>
      </c>
      <c r="G18" s="1" t="s">
        <v>55</v>
      </c>
      <c r="H18" s="17">
        <v>0.01</v>
      </c>
      <c r="I18" s="18">
        <f t="shared" si="1"/>
        <v>20</v>
      </c>
      <c r="J18" s="18">
        <f t="shared" si="2"/>
        <v>0.01</v>
      </c>
      <c r="K18" s="17">
        <f t="shared" si="3"/>
        <v>0.05</v>
      </c>
      <c r="L18" s="1">
        <v>6493</v>
      </c>
      <c r="M18" s="17">
        <f t="shared" si="4"/>
        <v>81</v>
      </c>
      <c r="N18" s="1">
        <v>6193</v>
      </c>
      <c r="O18" s="17">
        <f t="shared" si="5"/>
        <v>79</v>
      </c>
      <c r="P18" s="1">
        <v>1317</v>
      </c>
      <c r="Q18" s="17">
        <f t="shared" si="6"/>
        <v>36</v>
      </c>
      <c r="R18" s="1">
        <f t="shared" si="14"/>
        <v>65.849999999999994</v>
      </c>
      <c r="S18" s="17">
        <f t="shared" si="8"/>
        <v>1.8329250000000001</v>
      </c>
      <c r="U18" s="1">
        <v>1</v>
      </c>
      <c r="W18" s="19">
        <f t="shared" si="9"/>
        <v>3</v>
      </c>
      <c r="X18" s="26">
        <f t="shared" si="10"/>
        <v>65.900000000000006</v>
      </c>
      <c r="Y18" s="19">
        <f t="shared" si="11"/>
        <v>1.8</v>
      </c>
      <c r="AA18" s="17">
        <f t="shared" si="12"/>
        <v>5.2359877559829883E-2</v>
      </c>
      <c r="AB18" s="27">
        <f t="shared" si="13"/>
        <v>65.900000000000006</v>
      </c>
    </row>
    <row r="19" spans="1:41">
      <c r="A19" s="1">
        <v>4</v>
      </c>
      <c r="B19" s="1">
        <v>20</v>
      </c>
      <c r="C19" s="1">
        <v>2</v>
      </c>
      <c r="D19" s="1">
        <v>3</v>
      </c>
      <c r="E19" s="17">
        <v>0.01</v>
      </c>
      <c r="F19" s="18">
        <f t="shared" si="0"/>
        <v>20</v>
      </c>
      <c r="G19" s="1" t="s">
        <v>55</v>
      </c>
      <c r="H19" s="17">
        <v>0.01</v>
      </c>
      <c r="I19" s="18">
        <f t="shared" si="1"/>
        <v>20</v>
      </c>
      <c r="J19" s="18">
        <f t="shared" si="2"/>
        <v>0.01</v>
      </c>
      <c r="K19" s="17">
        <f t="shared" si="3"/>
        <v>0.05</v>
      </c>
      <c r="L19" s="1">
        <v>6542</v>
      </c>
      <c r="M19" s="17">
        <f t="shared" si="4"/>
        <v>81</v>
      </c>
      <c r="N19" s="1">
        <v>6285</v>
      </c>
      <c r="O19" s="17">
        <f t="shared" si="5"/>
        <v>79</v>
      </c>
      <c r="P19" s="1">
        <v>1231</v>
      </c>
      <c r="Q19" s="17">
        <f t="shared" si="6"/>
        <v>35</v>
      </c>
      <c r="R19" s="1">
        <f t="shared" si="14"/>
        <v>61.55</v>
      </c>
      <c r="S19" s="17">
        <f t="shared" si="8"/>
        <v>1.780775</v>
      </c>
      <c r="U19" s="1">
        <v>1</v>
      </c>
      <c r="W19" s="19">
        <f t="shared" si="9"/>
        <v>4</v>
      </c>
      <c r="X19" s="26">
        <f t="shared" si="10"/>
        <v>61.6</v>
      </c>
      <c r="Y19" s="19">
        <f t="shared" si="11"/>
        <v>1.8</v>
      </c>
      <c r="AA19" s="17">
        <f t="shared" si="12"/>
        <v>6.9813170079773182E-2</v>
      </c>
      <c r="AB19" s="27">
        <f t="shared" si="13"/>
        <v>61.6</v>
      </c>
    </row>
    <row r="20" spans="1:41">
      <c r="A20" s="1">
        <v>5</v>
      </c>
      <c r="B20" s="1">
        <v>20</v>
      </c>
      <c r="C20" s="1">
        <v>2</v>
      </c>
      <c r="D20" s="1">
        <v>3</v>
      </c>
      <c r="E20" s="17">
        <v>0.01</v>
      </c>
      <c r="F20" s="18">
        <f t="shared" si="0"/>
        <v>20</v>
      </c>
      <c r="G20" s="1" t="s">
        <v>55</v>
      </c>
      <c r="H20" s="17">
        <v>0.01</v>
      </c>
      <c r="I20" s="18">
        <f t="shared" si="1"/>
        <v>20</v>
      </c>
      <c r="J20" s="18">
        <f t="shared" si="2"/>
        <v>0.01</v>
      </c>
      <c r="K20" s="17">
        <f t="shared" si="3"/>
        <v>0.05</v>
      </c>
      <c r="L20" s="1">
        <v>6657</v>
      </c>
      <c r="M20" s="17">
        <f t="shared" si="4"/>
        <v>82</v>
      </c>
      <c r="N20" s="1">
        <v>6130</v>
      </c>
      <c r="O20" s="17">
        <f t="shared" si="5"/>
        <v>78</v>
      </c>
      <c r="P20" s="1">
        <v>1042</v>
      </c>
      <c r="Q20" s="17">
        <f t="shared" si="6"/>
        <v>32</v>
      </c>
      <c r="R20" s="1">
        <f t="shared" si="14"/>
        <v>52.1</v>
      </c>
      <c r="S20" s="17">
        <f t="shared" si="8"/>
        <v>1.62605</v>
      </c>
      <c r="U20" s="1">
        <v>1</v>
      </c>
      <c r="W20" s="19">
        <f t="shared" si="9"/>
        <v>5</v>
      </c>
      <c r="X20" s="26">
        <f t="shared" si="10"/>
        <v>52.1</v>
      </c>
      <c r="Y20" s="19">
        <f t="shared" si="11"/>
        <v>1.6</v>
      </c>
      <c r="AA20" s="17">
        <f t="shared" si="12"/>
        <v>8.7266462599716474E-2</v>
      </c>
      <c r="AB20" s="27">
        <f t="shared" si="13"/>
        <v>52.1</v>
      </c>
    </row>
    <row r="21" spans="1:41">
      <c r="A21" s="1">
        <v>6</v>
      </c>
      <c r="B21" s="1">
        <v>20</v>
      </c>
      <c r="C21" s="1">
        <v>2</v>
      </c>
      <c r="D21" s="1">
        <v>3</v>
      </c>
      <c r="E21" s="17">
        <v>0.01</v>
      </c>
      <c r="F21" s="18">
        <f t="shared" si="0"/>
        <v>20</v>
      </c>
      <c r="G21" s="1" t="s">
        <v>55</v>
      </c>
      <c r="H21" s="17">
        <v>0.01</v>
      </c>
      <c r="I21" s="18">
        <f t="shared" si="1"/>
        <v>20</v>
      </c>
      <c r="J21" s="18">
        <f t="shared" si="2"/>
        <v>0.01</v>
      </c>
      <c r="K21" s="17">
        <f t="shared" si="3"/>
        <v>0.05</v>
      </c>
      <c r="L21" s="1">
        <v>6500</v>
      </c>
      <c r="M21" s="17">
        <f t="shared" si="4"/>
        <v>81</v>
      </c>
      <c r="N21" s="1">
        <v>6275</v>
      </c>
      <c r="O21" s="17">
        <f t="shared" si="5"/>
        <v>79</v>
      </c>
      <c r="P21" s="1">
        <v>881</v>
      </c>
      <c r="Q21" s="17">
        <f t="shared" si="6"/>
        <v>30</v>
      </c>
      <c r="R21" s="1">
        <f t="shared" si="14"/>
        <v>44.05</v>
      </c>
      <c r="S21" s="17">
        <f t="shared" si="8"/>
        <v>1.522025</v>
      </c>
      <c r="U21" s="1">
        <v>1</v>
      </c>
      <c r="W21" s="19">
        <f t="shared" si="9"/>
        <v>6</v>
      </c>
      <c r="X21" s="26">
        <f t="shared" si="10"/>
        <v>44.1</v>
      </c>
      <c r="Y21" s="19">
        <f t="shared" si="11"/>
        <v>1.5</v>
      </c>
      <c r="AA21" s="17">
        <f t="shared" si="12"/>
        <v>0.10471975511965977</v>
      </c>
      <c r="AB21" s="27">
        <f t="shared" si="13"/>
        <v>44.1</v>
      </c>
    </row>
    <row r="22" spans="1:41">
      <c r="A22" s="1">
        <v>7</v>
      </c>
      <c r="B22" s="1">
        <v>20</v>
      </c>
      <c r="C22" s="1">
        <v>2</v>
      </c>
      <c r="D22" s="1">
        <v>3</v>
      </c>
      <c r="E22" s="17">
        <v>0.01</v>
      </c>
      <c r="F22" s="18">
        <f t="shared" si="0"/>
        <v>20</v>
      </c>
      <c r="G22" s="1" t="s">
        <v>55</v>
      </c>
      <c r="H22" s="17">
        <v>0.01</v>
      </c>
      <c r="I22" s="18">
        <f t="shared" si="1"/>
        <v>20</v>
      </c>
      <c r="J22" s="18">
        <f t="shared" si="2"/>
        <v>0.01</v>
      </c>
      <c r="K22" s="17">
        <f t="shared" si="3"/>
        <v>0.05</v>
      </c>
      <c r="L22" s="1">
        <v>6500</v>
      </c>
      <c r="M22" s="17">
        <f t="shared" si="4"/>
        <v>81</v>
      </c>
      <c r="N22" s="1">
        <v>6251</v>
      </c>
      <c r="O22" s="17">
        <f t="shared" si="5"/>
        <v>79</v>
      </c>
      <c r="P22" s="1">
        <v>705</v>
      </c>
      <c r="Q22" s="17">
        <f t="shared" si="6"/>
        <v>27</v>
      </c>
      <c r="R22" s="1">
        <f t="shared" si="14"/>
        <v>35.25</v>
      </c>
      <c r="S22" s="17">
        <f t="shared" si="8"/>
        <v>1.3676250000000001</v>
      </c>
      <c r="U22" s="1">
        <v>1</v>
      </c>
      <c r="W22" s="19">
        <f t="shared" si="9"/>
        <v>7</v>
      </c>
      <c r="X22" s="26">
        <f t="shared" si="10"/>
        <v>35.299999999999997</v>
      </c>
      <c r="Y22" s="19">
        <f t="shared" si="11"/>
        <v>1.4</v>
      </c>
      <c r="AA22" s="17">
        <f t="shared" si="12"/>
        <v>0.12217304763960307</v>
      </c>
      <c r="AB22" s="27">
        <f t="shared" si="13"/>
        <v>35.299999999999997</v>
      </c>
    </row>
    <row r="23" spans="1:41">
      <c r="A23" s="1">
        <v>8</v>
      </c>
      <c r="B23" s="1">
        <v>20</v>
      </c>
      <c r="C23" s="1">
        <v>2</v>
      </c>
      <c r="D23" s="1">
        <v>3</v>
      </c>
      <c r="E23" s="17">
        <v>0.01</v>
      </c>
      <c r="F23" s="18">
        <f t="shared" si="0"/>
        <v>20</v>
      </c>
      <c r="G23" s="1" t="s">
        <v>55</v>
      </c>
      <c r="H23" s="17">
        <v>0.01</v>
      </c>
      <c r="I23" s="18">
        <f t="shared" si="1"/>
        <v>20</v>
      </c>
      <c r="J23" s="18">
        <f t="shared" si="2"/>
        <v>0.01</v>
      </c>
      <c r="K23" s="17">
        <f t="shared" si="3"/>
        <v>0.05</v>
      </c>
      <c r="L23" s="1">
        <v>6394</v>
      </c>
      <c r="M23" s="17">
        <f t="shared" si="4"/>
        <v>80</v>
      </c>
      <c r="N23" s="1">
        <v>6259</v>
      </c>
      <c r="O23" s="17">
        <f t="shared" si="5"/>
        <v>79</v>
      </c>
      <c r="P23" s="1">
        <v>531</v>
      </c>
      <c r="Q23" s="17">
        <f t="shared" si="6"/>
        <v>23</v>
      </c>
      <c r="R23" s="1">
        <f t="shared" si="14"/>
        <v>26.55</v>
      </c>
      <c r="S23" s="17">
        <f t="shared" si="8"/>
        <v>1.1632749999999998</v>
      </c>
      <c r="U23" s="1">
        <v>1</v>
      </c>
      <c r="W23" s="19">
        <f t="shared" si="9"/>
        <v>8</v>
      </c>
      <c r="X23" s="26">
        <f t="shared" si="10"/>
        <v>26.6</v>
      </c>
      <c r="Y23" s="19">
        <f t="shared" si="11"/>
        <v>1.2</v>
      </c>
      <c r="AA23" s="17">
        <f t="shared" si="12"/>
        <v>0.13962634015954636</v>
      </c>
      <c r="AB23" s="27">
        <f t="shared" si="13"/>
        <v>26.6</v>
      </c>
    </row>
    <row r="24" spans="1:41">
      <c r="A24" s="1">
        <v>9</v>
      </c>
      <c r="B24" s="1">
        <v>20</v>
      </c>
      <c r="C24" s="1">
        <v>2</v>
      </c>
      <c r="D24" s="1">
        <v>3</v>
      </c>
      <c r="E24" s="17">
        <v>0.01</v>
      </c>
      <c r="F24" s="18">
        <f t="shared" si="0"/>
        <v>20</v>
      </c>
      <c r="G24" s="1" t="s">
        <v>55</v>
      </c>
      <c r="H24" s="17">
        <v>0.01</v>
      </c>
      <c r="I24" s="18">
        <f t="shared" si="1"/>
        <v>20</v>
      </c>
      <c r="J24" s="18">
        <f t="shared" si="2"/>
        <v>0.01</v>
      </c>
      <c r="K24" s="17">
        <f t="shared" si="3"/>
        <v>0.05</v>
      </c>
      <c r="L24" s="1">
        <v>6548</v>
      </c>
      <c r="M24" s="17">
        <f t="shared" si="4"/>
        <v>81</v>
      </c>
      <c r="N24" s="1">
        <v>6247</v>
      </c>
      <c r="O24" s="17">
        <f t="shared" si="5"/>
        <v>79</v>
      </c>
      <c r="P24" s="1">
        <v>417</v>
      </c>
      <c r="Q24" s="17">
        <f t="shared" si="6"/>
        <v>20</v>
      </c>
      <c r="R24" s="1">
        <f t="shared" si="14"/>
        <v>20.85</v>
      </c>
      <c r="S24" s="17">
        <f t="shared" si="8"/>
        <v>1.0104249999999999</v>
      </c>
      <c r="U24" s="1">
        <v>1</v>
      </c>
      <c r="W24" s="19">
        <f t="shared" si="9"/>
        <v>9</v>
      </c>
      <c r="X24" s="26">
        <f t="shared" si="10"/>
        <v>20.9</v>
      </c>
      <c r="Y24" s="26">
        <f t="shared" si="11"/>
        <v>1</v>
      </c>
      <c r="AA24" s="17">
        <f t="shared" si="12"/>
        <v>0.15707963267948966</v>
      </c>
      <c r="AB24" s="27">
        <f t="shared" si="13"/>
        <v>20.9</v>
      </c>
    </row>
    <row r="25" spans="1:41">
      <c r="A25" s="1">
        <v>10</v>
      </c>
      <c r="B25" s="1">
        <v>20</v>
      </c>
      <c r="C25" s="1">
        <v>2</v>
      </c>
      <c r="D25" s="1">
        <v>3</v>
      </c>
      <c r="E25" s="17">
        <v>0.01</v>
      </c>
      <c r="F25" s="18">
        <f t="shared" si="0"/>
        <v>20</v>
      </c>
      <c r="G25" s="1" t="s">
        <v>55</v>
      </c>
      <c r="H25" s="17">
        <v>0.01</v>
      </c>
      <c r="I25" s="18">
        <f t="shared" si="1"/>
        <v>20</v>
      </c>
      <c r="J25" s="18">
        <f t="shared" si="2"/>
        <v>0.01</v>
      </c>
      <c r="K25" s="17">
        <f t="shared" si="3"/>
        <v>0.05</v>
      </c>
      <c r="L25" s="1">
        <v>6692</v>
      </c>
      <c r="M25" s="17">
        <f t="shared" si="4"/>
        <v>82</v>
      </c>
      <c r="N25" s="1">
        <v>6386</v>
      </c>
      <c r="O25" s="17">
        <f t="shared" si="5"/>
        <v>80</v>
      </c>
      <c r="P25" s="1">
        <v>316</v>
      </c>
      <c r="Q25" s="17">
        <f t="shared" si="6"/>
        <v>18</v>
      </c>
      <c r="R25" s="1">
        <f t="shared" si="14"/>
        <v>15.8</v>
      </c>
      <c r="S25" s="17">
        <f t="shared" si="8"/>
        <v>0.90790000000000004</v>
      </c>
      <c r="U25" s="1">
        <v>1</v>
      </c>
      <c r="W25" s="19">
        <f t="shared" si="9"/>
        <v>10</v>
      </c>
      <c r="X25" s="26">
        <f t="shared" si="10"/>
        <v>15.8</v>
      </c>
      <c r="Y25" s="19">
        <f t="shared" si="11"/>
        <v>0.9</v>
      </c>
      <c r="AA25" s="17">
        <f t="shared" si="12"/>
        <v>0.17453292519943295</v>
      </c>
      <c r="AB25" s="27">
        <f t="shared" si="13"/>
        <v>15.8</v>
      </c>
    </row>
    <row r="26" spans="1:41">
      <c r="A26" s="17">
        <v>12</v>
      </c>
      <c r="B26" s="17">
        <v>40</v>
      </c>
      <c r="C26" s="17">
        <v>6</v>
      </c>
      <c r="D26" s="17">
        <v>3</v>
      </c>
      <c r="E26" s="17">
        <v>0.01</v>
      </c>
      <c r="F26" s="18">
        <f t="shared" si="0"/>
        <v>60</v>
      </c>
      <c r="G26" s="17" t="s">
        <v>55</v>
      </c>
      <c r="H26" s="17">
        <v>0.01</v>
      </c>
      <c r="I26" s="18">
        <f t="shared" si="1"/>
        <v>60</v>
      </c>
      <c r="J26" s="18">
        <f t="shared" si="2"/>
        <v>0.01</v>
      </c>
      <c r="K26" s="17">
        <f t="shared" si="3"/>
        <v>1.6666666666666666E-2</v>
      </c>
      <c r="L26" s="17">
        <v>19800</v>
      </c>
      <c r="M26" s="17">
        <f t="shared" si="4"/>
        <v>141</v>
      </c>
      <c r="N26" s="17">
        <v>18633</v>
      </c>
      <c r="O26" s="17">
        <f t="shared" si="5"/>
        <v>137</v>
      </c>
      <c r="P26" s="17">
        <v>408</v>
      </c>
      <c r="Q26" s="17">
        <f t="shared" si="6"/>
        <v>20</v>
      </c>
      <c r="R26" s="17">
        <f t="shared" si="14"/>
        <v>10.199999999999999</v>
      </c>
      <c r="S26" s="17">
        <f t="shared" si="8"/>
        <v>0.33446666666666663</v>
      </c>
      <c r="T26" s="17"/>
      <c r="U26" s="17">
        <v>1</v>
      </c>
      <c r="V26" s="17"/>
      <c r="W26" s="19">
        <f t="shared" si="9"/>
        <v>12</v>
      </c>
      <c r="X26" s="26">
        <f t="shared" si="10"/>
        <v>10.199999999999999</v>
      </c>
      <c r="Y26" s="19">
        <f t="shared" si="11"/>
        <v>0.3</v>
      </c>
      <c r="Z26" s="17"/>
      <c r="AA26" s="17">
        <f t="shared" si="12"/>
        <v>0.20943951023931953</v>
      </c>
      <c r="AB26" s="27">
        <f t="shared" si="13"/>
        <v>10.199999999999999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A27" s="17">
        <v>15</v>
      </c>
      <c r="B27" s="17">
        <v>70</v>
      </c>
      <c r="C27" s="17">
        <v>6</v>
      </c>
      <c r="D27" s="17">
        <v>3</v>
      </c>
      <c r="E27" s="17">
        <v>0.01</v>
      </c>
      <c r="F27" s="18">
        <f t="shared" si="0"/>
        <v>60</v>
      </c>
      <c r="G27" s="17" t="s">
        <v>55</v>
      </c>
      <c r="H27" s="17">
        <v>0.01</v>
      </c>
      <c r="I27" s="18">
        <f t="shared" si="1"/>
        <v>60</v>
      </c>
      <c r="J27" s="18">
        <f t="shared" si="2"/>
        <v>0.01</v>
      </c>
      <c r="K27" s="17">
        <f t="shared" si="3"/>
        <v>1.6666666666666666E-2</v>
      </c>
      <c r="L27" s="17">
        <v>19834</v>
      </c>
      <c r="M27" s="17">
        <f t="shared" si="4"/>
        <v>141</v>
      </c>
      <c r="N27" s="17">
        <v>18496</v>
      </c>
      <c r="O27" s="17">
        <f t="shared" si="5"/>
        <v>136</v>
      </c>
      <c r="P27" s="17">
        <v>77</v>
      </c>
      <c r="Q27" s="17">
        <f t="shared" si="6"/>
        <v>9</v>
      </c>
      <c r="R27" s="17">
        <f t="shared" si="14"/>
        <v>1.1000000000000001</v>
      </c>
      <c r="S27" s="17">
        <f t="shared" si="8"/>
        <v>0.1502138888888889</v>
      </c>
      <c r="T27" s="17"/>
      <c r="U27" s="17">
        <v>1</v>
      </c>
      <c r="V27" s="17"/>
      <c r="W27" s="19">
        <f t="shared" si="9"/>
        <v>15</v>
      </c>
      <c r="X27" s="26">
        <f t="shared" si="10"/>
        <v>1.1000000000000001</v>
      </c>
      <c r="Y27" s="19">
        <f t="shared" si="11"/>
        <v>0.2</v>
      </c>
      <c r="Z27" s="17"/>
      <c r="AA27" s="17">
        <f t="shared" si="12"/>
        <v>0.26179938779914941</v>
      </c>
      <c r="AB27" s="27">
        <f t="shared" si="13"/>
        <v>1.1000000000000001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A28" s="17">
        <v>20</v>
      </c>
      <c r="B28" s="17">
        <v>120</v>
      </c>
      <c r="C28" s="17">
        <v>2</v>
      </c>
      <c r="D28" s="17">
        <v>2</v>
      </c>
      <c r="E28" s="17">
        <v>0.01</v>
      </c>
      <c r="F28" s="18">
        <f t="shared" si="0"/>
        <v>2</v>
      </c>
      <c r="G28" s="17" t="s">
        <v>54</v>
      </c>
      <c r="H28" s="17">
        <v>0.01</v>
      </c>
      <c r="I28" s="18">
        <f t="shared" si="1"/>
        <v>120</v>
      </c>
      <c r="J28" s="18">
        <f t="shared" si="2"/>
        <v>0.6</v>
      </c>
      <c r="K28" s="17">
        <f t="shared" si="3"/>
        <v>0.5</v>
      </c>
      <c r="L28" s="17">
        <v>39435</v>
      </c>
      <c r="M28" s="17">
        <f t="shared" si="4"/>
        <v>199</v>
      </c>
      <c r="N28" s="17">
        <v>37191</v>
      </c>
      <c r="O28" s="17">
        <f t="shared" si="5"/>
        <v>193</v>
      </c>
      <c r="P28" s="17">
        <v>68</v>
      </c>
      <c r="Q28" s="17">
        <f t="shared" si="6"/>
        <v>8</v>
      </c>
      <c r="R28" s="17">
        <f t="shared" si="14"/>
        <v>0.56666666666666665</v>
      </c>
      <c r="S28" s="17">
        <f t="shared" si="8"/>
        <v>6.9499999999999992E-2</v>
      </c>
      <c r="T28" s="17"/>
      <c r="U28" s="17">
        <v>1</v>
      </c>
      <c r="V28" s="17"/>
      <c r="W28" s="19">
        <f t="shared" si="9"/>
        <v>20</v>
      </c>
      <c r="X28" s="26">
        <f t="shared" si="10"/>
        <v>0.6</v>
      </c>
      <c r="Y28" s="19">
        <f t="shared" si="11"/>
        <v>0.1</v>
      </c>
      <c r="Z28" s="17"/>
      <c r="AA28" s="17">
        <f t="shared" si="12"/>
        <v>0.3490658503988659</v>
      </c>
      <c r="AB28" s="27">
        <f t="shared" si="13"/>
        <v>0.6</v>
      </c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4:AI79"/>
  <sheetViews>
    <sheetView workbookViewId="0"/>
  </sheetViews>
  <sheetFormatPr defaultColWidth="12.6640625" defaultRowHeight="15.75" customHeight="1"/>
  <sheetData>
    <row r="4" spans="2:35">
      <c r="B4" s="15" t="s">
        <v>38</v>
      </c>
      <c r="C4" s="15" t="s">
        <v>39</v>
      </c>
      <c r="D4" s="16" t="s">
        <v>40</v>
      </c>
      <c r="E4" s="16" t="s">
        <v>41</v>
      </c>
      <c r="F4" s="16">
        <v>0.01</v>
      </c>
      <c r="G4" s="16" t="s">
        <v>42</v>
      </c>
      <c r="H4" s="16" t="s">
        <v>43</v>
      </c>
      <c r="I4" s="16" t="s">
        <v>44</v>
      </c>
      <c r="J4" s="16" t="s">
        <v>45</v>
      </c>
      <c r="K4" s="16" t="s">
        <v>46</v>
      </c>
      <c r="L4" s="15"/>
      <c r="M4" s="15" t="s">
        <v>47</v>
      </c>
      <c r="N4" s="15" t="s">
        <v>44</v>
      </c>
      <c r="O4" s="15" t="s">
        <v>48</v>
      </c>
      <c r="P4" s="15" t="s">
        <v>44</v>
      </c>
      <c r="Q4" s="15" t="s">
        <v>49</v>
      </c>
      <c r="R4" s="15" t="s">
        <v>44</v>
      </c>
      <c r="S4" s="15" t="s">
        <v>50</v>
      </c>
      <c r="T4" s="15" t="s">
        <v>44</v>
      </c>
      <c r="U4" s="15"/>
      <c r="V4" s="15" t="s">
        <v>51</v>
      </c>
      <c r="W4" s="1" t="s">
        <v>52</v>
      </c>
      <c r="X4" s="1" t="s">
        <v>53</v>
      </c>
      <c r="Y4" s="15" t="s">
        <v>50</v>
      </c>
      <c r="Z4" s="15" t="s">
        <v>44</v>
      </c>
      <c r="AA4" s="15"/>
      <c r="AB4" s="15"/>
      <c r="AC4" s="15"/>
      <c r="AD4" s="15"/>
      <c r="AE4" s="15"/>
      <c r="AF4" s="15"/>
      <c r="AG4" s="15"/>
      <c r="AH4" s="15"/>
      <c r="AI4" s="15"/>
    </row>
    <row r="5" spans="2:35">
      <c r="B5" s="17">
        <v>-35</v>
      </c>
      <c r="C5" s="17">
        <v>60</v>
      </c>
      <c r="D5" s="17">
        <v>2</v>
      </c>
      <c r="E5" s="17">
        <v>2</v>
      </c>
      <c r="F5" s="17">
        <v>0.01</v>
      </c>
      <c r="G5" s="18">
        <f t="shared" ref="G5:G35" si="0">F5*D5*10^E5</f>
        <v>2</v>
      </c>
      <c r="H5" s="17" t="s">
        <v>54</v>
      </c>
      <c r="I5" s="17">
        <v>0.01</v>
      </c>
      <c r="J5" s="18">
        <v>60</v>
      </c>
      <c r="K5" s="18">
        <f t="shared" ref="K5:K35" si="1">IF(H5="min",I5*60,I5)</f>
        <v>0.6</v>
      </c>
      <c r="L5" s="17">
        <f t="shared" ref="L5:L35" si="2">K5/J5*100</f>
        <v>1</v>
      </c>
      <c r="M5" s="17">
        <v>20291</v>
      </c>
      <c r="N5" s="17">
        <f t="shared" ref="N5:N35" si="3">ROUND( SQRT(M5),0)</f>
        <v>142</v>
      </c>
      <c r="O5" s="17">
        <v>21723</v>
      </c>
      <c r="P5" s="17">
        <f t="shared" ref="P5:P35" si="4">ROUND( SQRT(O5),0)</f>
        <v>147</v>
      </c>
      <c r="Q5" s="17">
        <v>11</v>
      </c>
      <c r="R5" s="17">
        <f t="shared" ref="R5:R35" si="5">ROUND( SQRT(Q5),0)</f>
        <v>3</v>
      </c>
      <c r="S5" s="17">
        <f t="shared" ref="S5:S9" si="6">Q5/J5</f>
        <v>0.18333333333333332</v>
      </c>
      <c r="T5" s="17">
        <f t="shared" ref="T5:T35" si="7">ABS(R5/J5) + ABS(Q5/J5/J5*K5)</f>
        <v>5.1833333333333335E-2</v>
      </c>
      <c r="U5" s="17"/>
      <c r="V5" s="17">
        <v>3</v>
      </c>
      <c r="W5" s="17"/>
      <c r="X5" s="19">
        <f t="shared" ref="X5:X35" si="8">B5</f>
        <v>-35</v>
      </c>
      <c r="Y5" s="24">
        <f t="shared" ref="Y5:Y35" si="9">ROUND(S5,V5)</f>
        <v>0.183</v>
      </c>
      <c r="Z5" s="19">
        <f t="shared" ref="Z5:Z35" si="10">ROUND(T5,V5)</f>
        <v>5.1999999999999998E-2</v>
      </c>
      <c r="AA5" s="19"/>
      <c r="AB5" s="19"/>
      <c r="AC5" s="19"/>
      <c r="AD5" s="19"/>
      <c r="AE5" s="19"/>
      <c r="AF5" s="19"/>
      <c r="AG5" s="19"/>
      <c r="AH5" s="19"/>
      <c r="AI5" s="19"/>
    </row>
    <row r="6" spans="2:35">
      <c r="B6" s="17">
        <v>-30</v>
      </c>
      <c r="C6" s="17">
        <v>60</v>
      </c>
      <c r="D6" s="17">
        <v>2</v>
      </c>
      <c r="E6" s="17">
        <v>2</v>
      </c>
      <c r="F6" s="17">
        <v>0.01</v>
      </c>
      <c r="G6" s="18">
        <f t="shared" si="0"/>
        <v>2</v>
      </c>
      <c r="H6" s="17" t="s">
        <v>54</v>
      </c>
      <c r="I6" s="17">
        <v>0.01</v>
      </c>
      <c r="J6" s="18">
        <v>60</v>
      </c>
      <c r="K6" s="18">
        <f t="shared" si="1"/>
        <v>0.6</v>
      </c>
      <c r="L6" s="17">
        <f t="shared" si="2"/>
        <v>1</v>
      </c>
      <c r="M6" s="17">
        <v>20530</v>
      </c>
      <c r="N6" s="17">
        <f t="shared" si="3"/>
        <v>143</v>
      </c>
      <c r="O6" s="17">
        <v>21830</v>
      </c>
      <c r="P6" s="17">
        <f t="shared" si="4"/>
        <v>148</v>
      </c>
      <c r="Q6" s="17">
        <v>19</v>
      </c>
      <c r="R6" s="17">
        <f t="shared" si="5"/>
        <v>4</v>
      </c>
      <c r="S6" s="17">
        <f t="shared" si="6"/>
        <v>0.31666666666666665</v>
      </c>
      <c r="T6" s="17">
        <f t="shared" si="7"/>
        <v>6.9833333333333331E-2</v>
      </c>
      <c r="U6" s="17"/>
      <c r="V6" s="17">
        <v>3</v>
      </c>
      <c r="W6" s="17"/>
      <c r="X6" s="19">
        <f t="shared" si="8"/>
        <v>-30</v>
      </c>
      <c r="Y6" s="24">
        <f t="shared" si="9"/>
        <v>0.317</v>
      </c>
      <c r="Z6" s="19">
        <f t="shared" si="10"/>
        <v>7.0000000000000007E-2</v>
      </c>
      <c r="AA6" s="19"/>
      <c r="AB6" s="19"/>
      <c r="AC6" s="19"/>
      <c r="AD6" s="19"/>
      <c r="AE6" s="19"/>
      <c r="AF6" s="19"/>
      <c r="AG6" s="19"/>
      <c r="AH6" s="19"/>
      <c r="AI6" s="19"/>
    </row>
    <row r="7" spans="2:35">
      <c r="B7" s="17">
        <v>-25</v>
      </c>
      <c r="C7" s="17">
        <v>60</v>
      </c>
      <c r="D7" s="17">
        <v>2</v>
      </c>
      <c r="E7" s="17">
        <v>2</v>
      </c>
      <c r="F7" s="17">
        <v>0.01</v>
      </c>
      <c r="G7" s="18">
        <f t="shared" si="0"/>
        <v>2</v>
      </c>
      <c r="H7" s="17" t="s">
        <v>54</v>
      </c>
      <c r="I7" s="17">
        <v>0.01</v>
      </c>
      <c r="J7" s="18">
        <v>60</v>
      </c>
      <c r="K7" s="18">
        <f t="shared" si="1"/>
        <v>0.6</v>
      </c>
      <c r="L7" s="17">
        <f t="shared" si="2"/>
        <v>1</v>
      </c>
      <c r="M7" s="17">
        <v>20317</v>
      </c>
      <c r="N7" s="17">
        <f t="shared" si="3"/>
        <v>143</v>
      </c>
      <c r="O7" s="17">
        <v>18502</v>
      </c>
      <c r="P7" s="17">
        <f t="shared" si="4"/>
        <v>136</v>
      </c>
      <c r="Q7" s="17">
        <v>33</v>
      </c>
      <c r="R7" s="17">
        <f t="shared" si="5"/>
        <v>6</v>
      </c>
      <c r="S7" s="17">
        <f t="shared" si="6"/>
        <v>0.55000000000000004</v>
      </c>
      <c r="T7" s="17">
        <f t="shared" si="7"/>
        <v>0.10550000000000001</v>
      </c>
      <c r="U7" s="17"/>
      <c r="V7" s="17">
        <v>3</v>
      </c>
      <c r="W7" s="17"/>
      <c r="X7" s="19">
        <f t="shared" si="8"/>
        <v>-25</v>
      </c>
      <c r="Y7" s="24">
        <f t="shared" si="9"/>
        <v>0.55000000000000004</v>
      </c>
      <c r="Z7" s="19">
        <f t="shared" si="10"/>
        <v>0.106</v>
      </c>
    </row>
    <row r="8" spans="2:35">
      <c r="B8" s="17">
        <v>-20</v>
      </c>
      <c r="C8" s="17">
        <v>60</v>
      </c>
      <c r="D8" s="17">
        <v>2</v>
      </c>
      <c r="E8" s="17">
        <v>2</v>
      </c>
      <c r="F8" s="17">
        <v>0.01</v>
      </c>
      <c r="G8" s="18">
        <f t="shared" si="0"/>
        <v>2</v>
      </c>
      <c r="H8" s="17" t="s">
        <v>54</v>
      </c>
      <c r="I8" s="17">
        <v>0.01</v>
      </c>
      <c r="J8" s="18">
        <v>60</v>
      </c>
      <c r="K8" s="18">
        <f t="shared" si="1"/>
        <v>0.6</v>
      </c>
      <c r="L8" s="17">
        <f t="shared" si="2"/>
        <v>1</v>
      </c>
      <c r="M8" s="17">
        <v>20511</v>
      </c>
      <c r="N8" s="17">
        <f t="shared" si="3"/>
        <v>143</v>
      </c>
      <c r="O8" s="17">
        <v>18775</v>
      </c>
      <c r="P8" s="17">
        <f t="shared" si="4"/>
        <v>137</v>
      </c>
      <c r="Q8" s="17">
        <v>46</v>
      </c>
      <c r="R8" s="17">
        <f t="shared" si="5"/>
        <v>7</v>
      </c>
      <c r="S8" s="17">
        <f t="shared" si="6"/>
        <v>0.76666666666666672</v>
      </c>
      <c r="T8" s="17">
        <f t="shared" si="7"/>
        <v>0.12433333333333334</v>
      </c>
      <c r="U8" s="17"/>
      <c r="V8" s="17">
        <v>3</v>
      </c>
      <c r="W8" s="17"/>
      <c r="X8" s="19">
        <f t="shared" si="8"/>
        <v>-20</v>
      </c>
      <c r="Y8" s="24">
        <f t="shared" si="9"/>
        <v>0.76700000000000002</v>
      </c>
      <c r="Z8" s="19">
        <f t="shared" si="10"/>
        <v>0.124</v>
      </c>
    </row>
    <row r="9" spans="2:35">
      <c r="B9" s="17">
        <v>-15</v>
      </c>
      <c r="C9" s="17">
        <v>30</v>
      </c>
      <c r="D9" s="17">
        <v>1</v>
      </c>
      <c r="E9" s="17">
        <v>2</v>
      </c>
      <c r="F9" s="17">
        <v>0.01</v>
      </c>
      <c r="G9" s="18">
        <f t="shared" si="0"/>
        <v>1</v>
      </c>
      <c r="H9" s="17" t="s">
        <v>54</v>
      </c>
      <c r="I9" s="17">
        <v>0.01</v>
      </c>
      <c r="J9" s="18">
        <v>30</v>
      </c>
      <c r="K9" s="18">
        <f t="shared" si="1"/>
        <v>0.6</v>
      </c>
      <c r="L9" s="17">
        <f t="shared" si="2"/>
        <v>2</v>
      </c>
      <c r="M9" s="17">
        <v>10333</v>
      </c>
      <c r="N9" s="17">
        <f t="shared" si="3"/>
        <v>102</v>
      </c>
      <c r="O9" s="17">
        <v>9336</v>
      </c>
      <c r="P9" s="17">
        <f t="shared" si="4"/>
        <v>97</v>
      </c>
      <c r="Q9" s="17">
        <v>67</v>
      </c>
      <c r="R9" s="17">
        <f t="shared" si="5"/>
        <v>8</v>
      </c>
      <c r="S9" s="17">
        <f t="shared" si="6"/>
        <v>2.2333333333333334</v>
      </c>
      <c r="T9" s="17">
        <f t="shared" si="7"/>
        <v>0.31133333333333335</v>
      </c>
      <c r="U9" s="17"/>
      <c r="V9" s="17">
        <v>2</v>
      </c>
      <c r="W9" s="17"/>
      <c r="X9" s="19">
        <f t="shared" si="8"/>
        <v>-15</v>
      </c>
      <c r="Y9" s="19">
        <f t="shared" si="9"/>
        <v>2.23</v>
      </c>
      <c r="Z9" s="19">
        <f t="shared" si="10"/>
        <v>0.31</v>
      </c>
    </row>
    <row r="10" spans="2:35">
      <c r="B10" s="1">
        <v>-10</v>
      </c>
      <c r="C10" s="1">
        <v>20</v>
      </c>
      <c r="D10" s="1">
        <v>2</v>
      </c>
      <c r="E10" s="1">
        <v>3</v>
      </c>
      <c r="F10" s="17">
        <v>0.01</v>
      </c>
      <c r="G10" s="18">
        <f t="shared" si="0"/>
        <v>20</v>
      </c>
      <c r="H10" s="1" t="s">
        <v>55</v>
      </c>
      <c r="I10" s="17">
        <v>0.01</v>
      </c>
      <c r="J10" s="18">
        <f t="shared" ref="J10:J29" si="11">IF(H10="min",G10*60,G10)</f>
        <v>20</v>
      </c>
      <c r="K10" s="18">
        <f t="shared" si="1"/>
        <v>0.01</v>
      </c>
      <c r="L10" s="17">
        <f t="shared" si="2"/>
        <v>0.05</v>
      </c>
      <c r="M10" s="1">
        <v>6906</v>
      </c>
      <c r="N10" s="17">
        <f t="shared" si="3"/>
        <v>83</v>
      </c>
      <c r="O10" s="1">
        <v>6260</v>
      </c>
      <c r="P10" s="17">
        <f t="shared" si="4"/>
        <v>79</v>
      </c>
      <c r="Q10" s="1">
        <v>479</v>
      </c>
      <c r="R10" s="17">
        <f t="shared" si="5"/>
        <v>22</v>
      </c>
      <c r="S10" s="1">
        <f t="shared" ref="S10:S35" si="12">Q10/C10</f>
        <v>23.95</v>
      </c>
      <c r="T10" s="17">
        <f t="shared" si="7"/>
        <v>1.1119750000000002</v>
      </c>
      <c r="V10" s="1">
        <v>1</v>
      </c>
      <c r="X10" s="19">
        <f t="shared" si="8"/>
        <v>-10</v>
      </c>
      <c r="Y10" s="26">
        <f t="shared" si="9"/>
        <v>24</v>
      </c>
      <c r="Z10" s="19">
        <f t="shared" si="10"/>
        <v>1.1000000000000001</v>
      </c>
    </row>
    <row r="11" spans="2:35">
      <c r="B11" s="1">
        <v>-9</v>
      </c>
      <c r="C11" s="1">
        <v>20</v>
      </c>
      <c r="D11" s="1">
        <v>2</v>
      </c>
      <c r="E11" s="1">
        <v>3</v>
      </c>
      <c r="F11" s="17">
        <v>0.01</v>
      </c>
      <c r="G11" s="18">
        <f t="shared" si="0"/>
        <v>20</v>
      </c>
      <c r="H11" s="1" t="s">
        <v>55</v>
      </c>
      <c r="I11" s="17">
        <v>0.01</v>
      </c>
      <c r="J11" s="18">
        <f t="shared" si="11"/>
        <v>20</v>
      </c>
      <c r="K11" s="18">
        <f t="shared" si="1"/>
        <v>0.01</v>
      </c>
      <c r="L11" s="17">
        <f t="shared" si="2"/>
        <v>0.05</v>
      </c>
      <c r="M11" s="1">
        <v>6767</v>
      </c>
      <c r="N11" s="17">
        <f t="shared" si="3"/>
        <v>82</v>
      </c>
      <c r="O11" s="1">
        <v>6365</v>
      </c>
      <c r="P11" s="17">
        <f t="shared" si="4"/>
        <v>80</v>
      </c>
      <c r="Q11" s="1">
        <v>620</v>
      </c>
      <c r="R11" s="17">
        <f t="shared" si="5"/>
        <v>25</v>
      </c>
      <c r="S11" s="1">
        <f t="shared" si="12"/>
        <v>31</v>
      </c>
      <c r="T11" s="17">
        <f t="shared" si="7"/>
        <v>1.2655000000000001</v>
      </c>
      <c r="V11" s="1">
        <v>1</v>
      </c>
      <c r="X11" s="19">
        <f t="shared" si="8"/>
        <v>-9</v>
      </c>
      <c r="Y11" s="26">
        <f t="shared" si="9"/>
        <v>31</v>
      </c>
      <c r="Z11" s="19">
        <f t="shared" si="10"/>
        <v>1.3</v>
      </c>
    </row>
    <row r="12" spans="2:35">
      <c r="B12" s="1">
        <v>-8</v>
      </c>
      <c r="C12" s="1">
        <v>20</v>
      </c>
      <c r="D12" s="1">
        <v>2</v>
      </c>
      <c r="E12" s="1">
        <v>3</v>
      </c>
      <c r="F12" s="17">
        <v>0.01</v>
      </c>
      <c r="G12" s="18">
        <f t="shared" si="0"/>
        <v>20</v>
      </c>
      <c r="H12" s="1" t="s">
        <v>55</v>
      </c>
      <c r="I12" s="17">
        <v>0.01</v>
      </c>
      <c r="J12" s="18">
        <f t="shared" si="11"/>
        <v>20</v>
      </c>
      <c r="K12" s="18">
        <f t="shared" si="1"/>
        <v>0.01</v>
      </c>
      <c r="L12" s="17">
        <f t="shared" si="2"/>
        <v>0.05</v>
      </c>
      <c r="M12" s="1">
        <v>6996</v>
      </c>
      <c r="N12" s="17">
        <f t="shared" si="3"/>
        <v>84</v>
      </c>
      <c r="O12" s="1">
        <v>6333</v>
      </c>
      <c r="P12" s="17">
        <f t="shared" si="4"/>
        <v>80</v>
      </c>
      <c r="Q12" s="1">
        <v>797</v>
      </c>
      <c r="R12" s="17">
        <f t="shared" si="5"/>
        <v>28</v>
      </c>
      <c r="S12" s="1">
        <f t="shared" si="12"/>
        <v>39.85</v>
      </c>
      <c r="T12" s="17">
        <f t="shared" si="7"/>
        <v>1.4199249999999999</v>
      </c>
      <c r="V12" s="1">
        <v>1</v>
      </c>
      <c r="X12" s="19">
        <f t="shared" si="8"/>
        <v>-8</v>
      </c>
      <c r="Y12" s="26">
        <f t="shared" si="9"/>
        <v>39.9</v>
      </c>
      <c r="Z12" s="19">
        <f t="shared" si="10"/>
        <v>1.4</v>
      </c>
    </row>
    <row r="13" spans="2:35">
      <c r="B13" s="1">
        <v>-7</v>
      </c>
      <c r="C13" s="1">
        <v>20</v>
      </c>
      <c r="D13" s="1">
        <v>2</v>
      </c>
      <c r="E13" s="1">
        <v>3</v>
      </c>
      <c r="F13" s="17">
        <v>0.01</v>
      </c>
      <c r="G13" s="18">
        <f t="shared" si="0"/>
        <v>20</v>
      </c>
      <c r="H13" s="1" t="s">
        <v>55</v>
      </c>
      <c r="I13" s="17">
        <v>0.01</v>
      </c>
      <c r="J13" s="18">
        <f t="shared" si="11"/>
        <v>20</v>
      </c>
      <c r="K13" s="18">
        <f t="shared" si="1"/>
        <v>0.01</v>
      </c>
      <c r="L13" s="17">
        <f t="shared" si="2"/>
        <v>0.05</v>
      </c>
      <c r="M13" s="1">
        <v>6966</v>
      </c>
      <c r="N13" s="17">
        <f t="shared" si="3"/>
        <v>83</v>
      </c>
      <c r="O13" s="1">
        <v>6271</v>
      </c>
      <c r="P13" s="17">
        <f t="shared" si="4"/>
        <v>79</v>
      </c>
      <c r="Q13" s="1">
        <v>932</v>
      </c>
      <c r="R13" s="17">
        <f t="shared" si="5"/>
        <v>31</v>
      </c>
      <c r="S13" s="1">
        <f t="shared" si="12"/>
        <v>46.6</v>
      </c>
      <c r="T13" s="17">
        <f t="shared" si="7"/>
        <v>1.5733000000000001</v>
      </c>
      <c r="V13" s="1">
        <v>1</v>
      </c>
      <c r="X13" s="19">
        <f t="shared" si="8"/>
        <v>-7</v>
      </c>
      <c r="Y13" s="26">
        <f t="shared" si="9"/>
        <v>46.6</v>
      </c>
      <c r="Z13" s="19">
        <f t="shared" si="10"/>
        <v>1.6</v>
      </c>
    </row>
    <row r="14" spans="2:35">
      <c r="B14" s="1">
        <v>-6</v>
      </c>
      <c r="C14" s="1">
        <v>20</v>
      </c>
      <c r="D14" s="1">
        <v>2</v>
      </c>
      <c r="E14" s="1">
        <v>3</v>
      </c>
      <c r="F14" s="17">
        <v>0.01</v>
      </c>
      <c r="G14" s="18">
        <f t="shared" si="0"/>
        <v>20</v>
      </c>
      <c r="H14" s="1" t="s">
        <v>55</v>
      </c>
      <c r="I14" s="17">
        <v>0.01</v>
      </c>
      <c r="J14" s="18">
        <f t="shared" si="11"/>
        <v>20</v>
      </c>
      <c r="K14" s="18">
        <f t="shared" si="1"/>
        <v>0.01</v>
      </c>
      <c r="L14" s="17">
        <f t="shared" si="2"/>
        <v>0.05</v>
      </c>
      <c r="M14" s="1">
        <v>6930</v>
      </c>
      <c r="N14" s="17">
        <f t="shared" si="3"/>
        <v>83</v>
      </c>
      <c r="O14" s="1">
        <v>6267</v>
      </c>
      <c r="P14" s="17">
        <f t="shared" si="4"/>
        <v>79</v>
      </c>
      <c r="Q14" s="1">
        <v>1163</v>
      </c>
      <c r="R14" s="17">
        <f t="shared" si="5"/>
        <v>34</v>
      </c>
      <c r="S14" s="1">
        <f t="shared" si="12"/>
        <v>58.15</v>
      </c>
      <c r="T14" s="17">
        <f t="shared" si="7"/>
        <v>1.7290749999999999</v>
      </c>
      <c r="V14" s="1">
        <v>1</v>
      </c>
      <c r="X14" s="19">
        <f t="shared" si="8"/>
        <v>-6</v>
      </c>
      <c r="Y14" s="26">
        <f t="shared" si="9"/>
        <v>58.2</v>
      </c>
      <c r="Z14" s="19">
        <f t="shared" si="10"/>
        <v>1.7</v>
      </c>
    </row>
    <row r="15" spans="2:35">
      <c r="B15" s="1">
        <v>-5</v>
      </c>
      <c r="C15" s="1">
        <v>20</v>
      </c>
      <c r="D15" s="1">
        <v>2</v>
      </c>
      <c r="E15" s="1">
        <v>3</v>
      </c>
      <c r="F15" s="17">
        <v>0.01</v>
      </c>
      <c r="G15" s="18">
        <f t="shared" si="0"/>
        <v>20</v>
      </c>
      <c r="H15" s="1" t="s">
        <v>55</v>
      </c>
      <c r="I15" s="17">
        <v>0.01</v>
      </c>
      <c r="J15" s="18">
        <f t="shared" si="11"/>
        <v>20</v>
      </c>
      <c r="K15" s="18">
        <f t="shared" si="1"/>
        <v>0.01</v>
      </c>
      <c r="L15" s="17">
        <f t="shared" si="2"/>
        <v>0.05</v>
      </c>
      <c r="M15" s="1">
        <v>6798</v>
      </c>
      <c r="N15" s="17">
        <f t="shared" si="3"/>
        <v>82</v>
      </c>
      <c r="O15" s="1">
        <v>6151</v>
      </c>
      <c r="P15" s="17">
        <f t="shared" si="4"/>
        <v>78</v>
      </c>
      <c r="Q15" s="1">
        <v>1285</v>
      </c>
      <c r="R15" s="17">
        <f t="shared" si="5"/>
        <v>36</v>
      </c>
      <c r="S15" s="1">
        <f t="shared" si="12"/>
        <v>64.25</v>
      </c>
      <c r="T15" s="17">
        <f t="shared" si="7"/>
        <v>1.832125</v>
      </c>
      <c r="V15" s="1">
        <v>1</v>
      </c>
      <c r="X15" s="19">
        <f t="shared" si="8"/>
        <v>-5</v>
      </c>
      <c r="Y15" s="26">
        <f t="shared" si="9"/>
        <v>64.3</v>
      </c>
      <c r="Z15" s="26">
        <f t="shared" si="10"/>
        <v>1.8</v>
      </c>
    </row>
    <row r="16" spans="2:35">
      <c r="B16" s="1">
        <v>-4</v>
      </c>
      <c r="C16" s="1">
        <v>20</v>
      </c>
      <c r="D16" s="1">
        <v>2</v>
      </c>
      <c r="E16" s="1">
        <v>3</v>
      </c>
      <c r="F16" s="17">
        <v>0.01</v>
      </c>
      <c r="G16" s="18">
        <f t="shared" si="0"/>
        <v>20</v>
      </c>
      <c r="H16" s="1" t="s">
        <v>55</v>
      </c>
      <c r="I16" s="17">
        <v>0.01</v>
      </c>
      <c r="J16" s="18">
        <f t="shared" si="11"/>
        <v>20</v>
      </c>
      <c r="K16" s="18">
        <f t="shared" si="1"/>
        <v>0.01</v>
      </c>
      <c r="L16" s="17">
        <f t="shared" si="2"/>
        <v>0.05</v>
      </c>
      <c r="M16" s="1">
        <v>6886</v>
      </c>
      <c r="N16" s="17">
        <f t="shared" si="3"/>
        <v>83</v>
      </c>
      <c r="O16" s="1">
        <v>6238</v>
      </c>
      <c r="P16" s="17">
        <f t="shared" si="4"/>
        <v>79</v>
      </c>
      <c r="Q16" s="1">
        <v>1415</v>
      </c>
      <c r="R16" s="17">
        <f t="shared" si="5"/>
        <v>38</v>
      </c>
      <c r="S16" s="1">
        <f t="shared" si="12"/>
        <v>70.75</v>
      </c>
      <c r="T16" s="17">
        <f t="shared" si="7"/>
        <v>1.9353749999999998</v>
      </c>
      <c r="V16" s="1">
        <v>1</v>
      </c>
      <c r="X16" s="19">
        <f t="shared" si="8"/>
        <v>-4</v>
      </c>
      <c r="Y16" s="26">
        <f t="shared" si="9"/>
        <v>70.8</v>
      </c>
      <c r="Z16" s="19">
        <f t="shared" si="10"/>
        <v>1.9</v>
      </c>
    </row>
    <row r="17" spans="2:26">
      <c r="B17" s="1">
        <v>-3</v>
      </c>
      <c r="C17" s="1">
        <v>20</v>
      </c>
      <c r="D17" s="1">
        <v>2</v>
      </c>
      <c r="E17" s="1">
        <v>3</v>
      </c>
      <c r="F17" s="17">
        <v>0.01</v>
      </c>
      <c r="G17" s="18">
        <f t="shared" si="0"/>
        <v>20</v>
      </c>
      <c r="H17" s="1" t="s">
        <v>55</v>
      </c>
      <c r="I17" s="17">
        <v>0.01</v>
      </c>
      <c r="J17" s="18">
        <f t="shared" si="11"/>
        <v>20</v>
      </c>
      <c r="K17" s="18">
        <f t="shared" si="1"/>
        <v>0.01</v>
      </c>
      <c r="L17" s="17">
        <f t="shared" si="2"/>
        <v>0.05</v>
      </c>
      <c r="M17" s="1">
        <v>6930</v>
      </c>
      <c r="N17" s="17">
        <f t="shared" si="3"/>
        <v>83</v>
      </c>
      <c r="O17" s="1">
        <v>6064</v>
      </c>
      <c r="P17" s="17">
        <f t="shared" si="4"/>
        <v>78</v>
      </c>
      <c r="Q17" s="1">
        <v>1481</v>
      </c>
      <c r="R17" s="17">
        <f t="shared" si="5"/>
        <v>38</v>
      </c>
      <c r="S17" s="1">
        <f t="shared" si="12"/>
        <v>74.05</v>
      </c>
      <c r="T17" s="17">
        <f t="shared" si="7"/>
        <v>1.937025</v>
      </c>
      <c r="V17" s="1">
        <v>2</v>
      </c>
      <c r="X17" s="19">
        <f t="shared" si="8"/>
        <v>-3</v>
      </c>
      <c r="Y17" s="26">
        <f t="shared" si="9"/>
        <v>74.05</v>
      </c>
      <c r="Z17" s="19">
        <f t="shared" si="10"/>
        <v>1.94</v>
      </c>
    </row>
    <row r="18" spans="2:26">
      <c r="B18" s="1">
        <v>-2</v>
      </c>
      <c r="C18" s="1">
        <v>20</v>
      </c>
      <c r="D18" s="1">
        <v>2</v>
      </c>
      <c r="E18" s="1">
        <v>3</v>
      </c>
      <c r="F18" s="17">
        <v>0.01</v>
      </c>
      <c r="G18" s="18">
        <f t="shared" si="0"/>
        <v>20</v>
      </c>
      <c r="H18" s="1" t="s">
        <v>55</v>
      </c>
      <c r="I18" s="17">
        <v>0.01</v>
      </c>
      <c r="J18" s="18">
        <f t="shared" si="11"/>
        <v>20</v>
      </c>
      <c r="K18" s="18">
        <f t="shared" si="1"/>
        <v>0.01</v>
      </c>
      <c r="L18" s="17">
        <f t="shared" si="2"/>
        <v>0.05</v>
      </c>
      <c r="M18" s="1">
        <v>6914</v>
      </c>
      <c r="N18" s="17">
        <f t="shared" si="3"/>
        <v>83</v>
      </c>
      <c r="O18" s="1">
        <v>6301</v>
      </c>
      <c r="P18" s="17">
        <f t="shared" si="4"/>
        <v>79</v>
      </c>
      <c r="Q18" s="1">
        <v>1780</v>
      </c>
      <c r="R18" s="17">
        <f t="shared" si="5"/>
        <v>42</v>
      </c>
      <c r="S18" s="1">
        <f t="shared" si="12"/>
        <v>89</v>
      </c>
      <c r="T18" s="17">
        <f t="shared" si="7"/>
        <v>2.1445000000000003</v>
      </c>
      <c r="V18" s="1">
        <v>1</v>
      </c>
      <c r="X18" s="19">
        <f t="shared" si="8"/>
        <v>-2</v>
      </c>
      <c r="Y18" s="26">
        <f t="shared" si="9"/>
        <v>89</v>
      </c>
      <c r="Z18" s="19">
        <f t="shared" si="10"/>
        <v>2.1</v>
      </c>
    </row>
    <row r="19" spans="2:26">
      <c r="B19" s="1">
        <v>-1</v>
      </c>
      <c r="C19" s="1">
        <v>20</v>
      </c>
      <c r="D19" s="1">
        <v>2</v>
      </c>
      <c r="E19" s="1">
        <v>3</v>
      </c>
      <c r="F19" s="17">
        <v>0.01</v>
      </c>
      <c r="G19" s="18">
        <f t="shared" si="0"/>
        <v>20</v>
      </c>
      <c r="H19" s="1" t="s">
        <v>55</v>
      </c>
      <c r="I19" s="17">
        <v>0.01</v>
      </c>
      <c r="J19" s="18">
        <f t="shared" si="11"/>
        <v>20</v>
      </c>
      <c r="K19" s="18">
        <f t="shared" si="1"/>
        <v>0.01</v>
      </c>
      <c r="L19" s="17">
        <f t="shared" si="2"/>
        <v>0.05</v>
      </c>
      <c r="M19" s="1">
        <v>6844</v>
      </c>
      <c r="N19" s="17">
        <f t="shared" si="3"/>
        <v>83</v>
      </c>
      <c r="O19" s="1">
        <v>6269</v>
      </c>
      <c r="P19" s="17">
        <f t="shared" si="4"/>
        <v>79</v>
      </c>
      <c r="Q19" s="1">
        <v>1885</v>
      </c>
      <c r="R19" s="17">
        <f t="shared" si="5"/>
        <v>43</v>
      </c>
      <c r="S19" s="1">
        <f t="shared" si="12"/>
        <v>94.25</v>
      </c>
      <c r="T19" s="17">
        <f t="shared" si="7"/>
        <v>2.1971249999999998</v>
      </c>
      <c r="V19" s="1">
        <v>2</v>
      </c>
      <c r="X19" s="19">
        <f t="shared" si="8"/>
        <v>-1</v>
      </c>
      <c r="Y19" s="26">
        <f t="shared" si="9"/>
        <v>94.25</v>
      </c>
      <c r="Z19" s="19">
        <f t="shared" si="10"/>
        <v>2.2000000000000002</v>
      </c>
    </row>
    <row r="20" spans="2:26">
      <c r="B20" s="17">
        <v>0</v>
      </c>
      <c r="C20" s="17">
        <v>20</v>
      </c>
      <c r="D20" s="1">
        <v>2</v>
      </c>
      <c r="E20" s="1">
        <v>3</v>
      </c>
      <c r="F20" s="17">
        <v>0.01</v>
      </c>
      <c r="G20" s="18">
        <f t="shared" si="0"/>
        <v>20</v>
      </c>
      <c r="H20" s="1" t="s">
        <v>55</v>
      </c>
      <c r="I20" s="17">
        <v>0.01</v>
      </c>
      <c r="J20" s="18">
        <f t="shared" si="11"/>
        <v>20</v>
      </c>
      <c r="K20" s="18">
        <f t="shared" si="1"/>
        <v>0.01</v>
      </c>
      <c r="L20" s="17">
        <f t="shared" si="2"/>
        <v>0.05</v>
      </c>
      <c r="M20" s="17">
        <v>6903</v>
      </c>
      <c r="N20" s="17">
        <f t="shared" si="3"/>
        <v>83</v>
      </c>
      <c r="O20" s="17">
        <v>6247</v>
      </c>
      <c r="P20" s="17">
        <f t="shared" si="4"/>
        <v>79</v>
      </c>
      <c r="Q20" s="17">
        <v>1948</v>
      </c>
      <c r="R20" s="17">
        <f t="shared" si="5"/>
        <v>44</v>
      </c>
      <c r="S20" s="17">
        <f t="shared" si="12"/>
        <v>97.4</v>
      </c>
      <c r="T20" s="17">
        <f t="shared" si="7"/>
        <v>2.2487000000000004</v>
      </c>
      <c r="U20" s="17"/>
      <c r="V20" s="17">
        <v>2</v>
      </c>
      <c r="W20" s="17"/>
      <c r="X20" s="19">
        <f t="shared" si="8"/>
        <v>0</v>
      </c>
      <c r="Y20" s="26">
        <f t="shared" si="9"/>
        <v>97.4</v>
      </c>
      <c r="Z20" s="19">
        <f t="shared" si="10"/>
        <v>2.25</v>
      </c>
    </row>
    <row r="21" spans="2:26">
      <c r="B21" s="1">
        <v>1</v>
      </c>
      <c r="C21" s="1">
        <v>20</v>
      </c>
      <c r="D21" s="1">
        <v>2</v>
      </c>
      <c r="E21" s="1">
        <v>3</v>
      </c>
      <c r="F21" s="17">
        <v>0.01</v>
      </c>
      <c r="G21" s="18">
        <f t="shared" si="0"/>
        <v>20</v>
      </c>
      <c r="H21" s="1" t="s">
        <v>55</v>
      </c>
      <c r="I21" s="17">
        <v>0.01</v>
      </c>
      <c r="J21" s="18">
        <f t="shared" si="11"/>
        <v>20</v>
      </c>
      <c r="K21" s="18">
        <f t="shared" si="1"/>
        <v>0.01</v>
      </c>
      <c r="L21" s="17">
        <f t="shared" si="2"/>
        <v>0.05</v>
      </c>
      <c r="M21" s="1">
        <v>6919</v>
      </c>
      <c r="N21" s="17">
        <f t="shared" si="3"/>
        <v>83</v>
      </c>
      <c r="O21" s="1">
        <v>6200</v>
      </c>
      <c r="P21" s="17">
        <f t="shared" si="4"/>
        <v>79</v>
      </c>
      <c r="Q21" s="1">
        <v>1867</v>
      </c>
      <c r="R21" s="17">
        <f t="shared" si="5"/>
        <v>43</v>
      </c>
      <c r="S21" s="1">
        <f t="shared" si="12"/>
        <v>93.35</v>
      </c>
      <c r="T21" s="17">
        <f t="shared" si="7"/>
        <v>2.1966749999999999</v>
      </c>
      <c r="V21" s="1">
        <v>1</v>
      </c>
      <c r="X21" s="19">
        <f t="shared" si="8"/>
        <v>1</v>
      </c>
      <c r="Y21" s="26">
        <f t="shared" si="9"/>
        <v>93.4</v>
      </c>
      <c r="Z21" s="19">
        <f t="shared" si="10"/>
        <v>2.2000000000000002</v>
      </c>
    </row>
    <row r="22" spans="2:26">
      <c r="B22" s="1">
        <v>2</v>
      </c>
      <c r="C22" s="1">
        <v>20</v>
      </c>
      <c r="D22" s="1">
        <v>2</v>
      </c>
      <c r="E22" s="1">
        <v>3</v>
      </c>
      <c r="F22" s="17">
        <v>0.01</v>
      </c>
      <c r="G22" s="18">
        <f t="shared" si="0"/>
        <v>20</v>
      </c>
      <c r="H22" s="1" t="s">
        <v>55</v>
      </c>
      <c r="I22" s="17">
        <v>0.01</v>
      </c>
      <c r="J22" s="18">
        <f t="shared" si="11"/>
        <v>20</v>
      </c>
      <c r="K22" s="18">
        <f t="shared" si="1"/>
        <v>0.01</v>
      </c>
      <c r="L22" s="17">
        <f t="shared" si="2"/>
        <v>0.05</v>
      </c>
      <c r="M22" s="1">
        <v>6781</v>
      </c>
      <c r="N22" s="17">
        <f t="shared" si="3"/>
        <v>82</v>
      </c>
      <c r="O22" s="1">
        <v>6064</v>
      </c>
      <c r="P22" s="17">
        <f t="shared" si="4"/>
        <v>78</v>
      </c>
      <c r="Q22" s="1">
        <v>1785</v>
      </c>
      <c r="R22" s="17">
        <f t="shared" si="5"/>
        <v>42</v>
      </c>
      <c r="S22" s="1">
        <f t="shared" si="12"/>
        <v>89.25</v>
      </c>
      <c r="T22" s="17">
        <f t="shared" si="7"/>
        <v>2.144625</v>
      </c>
      <c r="V22" s="1">
        <v>1</v>
      </c>
      <c r="X22" s="19">
        <f t="shared" si="8"/>
        <v>2</v>
      </c>
      <c r="Y22" s="26">
        <f t="shared" si="9"/>
        <v>89.3</v>
      </c>
      <c r="Z22" s="26">
        <f t="shared" si="10"/>
        <v>2.1</v>
      </c>
    </row>
    <row r="23" spans="2:26">
      <c r="B23" s="1">
        <v>3</v>
      </c>
      <c r="C23" s="1">
        <v>20</v>
      </c>
      <c r="D23" s="1">
        <v>2</v>
      </c>
      <c r="E23" s="1">
        <v>3</v>
      </c>
      <c r="F23" s="17">
        <v>0.01</v>
      </c>
      <c r="G23" s="18">
        <f t="shared" si="0"/>
        <v>20</v>
      </c>
      <c r="H23" s="1" t="s">
        <v>55</v>
      </c>
      <c r="I23" s="17">
        <v>0.01</v>
      </c>
      <c r="J23" s="18">
        <f t="shared" si="11"/>
        <v>20</v>
      </c>
      <c r="K23" s="18">
        <f t="shared" si="1"/>
        <v>0.01</v>
      </c>
      <c r="L23" s="17">
        <f t="shared" si="2"/>
        <v>0.05</v>
      </c>
      <c r="M23" s="1">
        <v>6734</v>
      </c>
      <c r="N23" s="17">
        <f t="shared" si="3"/>
        <v>82</v>
      </c>
      <c r="O23" s="1">
        <v>6233</v>
      </c>
      <c r="P23" s="17">
        <f t="shared" si="4"/>
        <v>79</v>
      </c>
      <c r="Q23" s="1">
        <v>1784</v>
      </c>
      <c r="R23" s="17">
        <f t="shared" si="5"/>
        <v>42</v>
      </c>
      <c r="S23" s="1">
        <f t="shared" si="12"/>
        <v>89.2</v>
      </c>
      <c r="T23" s="17">
        <f t="shared" si="7"/>
        <v>2.1446000000000001</v>
      </c>
      <c r="V23" s="1">
        <v>1</v>
      </c>
      <c r="X23" s="19">
        <f t="shared" si="8"/>
        <v>3</v>
      </c>
      <c r="Y23" s="26">
        <f t="shared" si="9"/>
        <v>89.2</v>
      </c>
      <c r="Z23" s="19">
        <f t="shared" si="10"/>
        <v>2.1</v>
      </c>
    </row>
    <row r="24" spans="2:26">
      <c r="B24" s="1">
        <v>4</v>
      </c>
      <c r="C24" s="1">
        <v>20</v>
      </c>
      <c r="D24" s="1">
        <v>2</v>
      </c>
      <c r="E24" s="1">
        <v>3</v>
      </c>
      <c r="F24" s="17">
        <v>0.01</v>
      </c>
      <c r="G24" s="18">
        <f t="shared" si="0"/>
        <v>20</v>
      </c>
      <c r="H24" s="1" t="s">
        <v>55</v>
      </c>
      <c r="I24" s="17">
        <v>0.01</v>
      </c>
      <c r="J24" s="18">
        <f t="shared" si="11"/>
        <v>20</v>
      </c>
      <c r="K24" s="18">
        <f t="shared" si="1"/>
        <v>0.01</v>
      </c>
      <c r="L24" s="17">
        <f t="shared" si="2"/>
        <v>0.05</v>
      </c>
      <c r="M24" s="1">
        <v>6886</v>
      </c>
      <c r="N24" s="17">
        <f t="shared" si="3"/>
        <v>83</v>
      </c>
      <c r="O24" s="1">
        <v>6200</v>
      </c>
      <c r="P24" s="17">
        <f t="shared" si="4"/>
        <v>79</v>
      </c>
      <c r="Q24" s="1">
        <v>1617</v>
      </c>
      <c r="R24" s="17">
        <f t="shared" si="5"/>
        <v>40</v>
      </c>
      <c r="S24" s="1">
        <f t="shared" si="12"/>
        <v>80.849999999999994</v>
      </c>
      <c r="T24" s="17">
        <f t="shared" si="7"/>
        <v>2.0404249999999999</v>
      </c>
      <c r="V24" s="1">
        <v>1</v>
      </c>
      <c r="X24" s="19">
        <f t="shared" si="8"/>
        <v>4</v>
      </c>
      <c r="Y24" s="26">
        <f t="shared" si="9"/>
        <v>80.900000000000006</v>
      </c>
      <c r="Z24" s="19">
        <f t="shared" si="10"/>
        <v>2</v>
      </c>
    </row>
    <row r="25" spans="2:26">
      <c r="B25" s="1">
        <v>5</v>
      </c>
      <c r="C25" s="1">
        <v>20</v>
      </c>
      <c r="D25" s="1">
        <v>2</v>
      </c>
      <c r="E25" s="1">
        <v>3</v>
      </c>
      <c r="F25" s="17">
        <v>0.01</v>
      </c>
      <c r="G25" s="18">
        <f t="shared" si="0"/>
        <v>20</v>
      </c>
      <c r="H25" s="1" t="s">
        <v>55</v>
      </c>
      <c r="I25" s="17">
        <v>0.01</v>
      </c>
      <c r="J25" s="18">
        <f t="shared" si="11"/>
        <v>20</v>
      </c>
      <c r="K25" s="18">
        <f t="shared" si="1"/>
        <v>0.01</v>
      </c>
      <c r="L25" s="17">
        <f t="shared" si="2"/>
        <v>0.05</v>
      </c>
      <c r="M25" s="1">
        <v>6858</v>
      </c>
      <c r="N25" s="17">
        <f t="shared" si="3"/>
        <v>83</v>
      </c>
      <c r="O25" s="1">
        <v>6204</v>
      </c>
      <c r="P25" s="17">
        <f t="shared" si="4"/>
        <v>79</v>
      </c>
      <c r="Q25" s="1">
        <v>1501</v>
      </c>
      <c r="R25" s="17">
        <f t="shared" si="5"/>
        <v>39</v>
      </c>
      <c r="S25" s="1">
        <f t="shared" si="12"/>
        <v>75.05</v>
      </c>
      <c r="T25" s="17">
        <f t="shared" si="7"/>
        <v>1.987525</v>
      </c>
      <c r="V25" s="1">
        <v>1</v>
      </c>
      <c r="X25" s="19">
        <f t="shared" si="8"/>
        <v>5</v>
      </c>
      <c r="Y25" s="26">
        <f t="shared" si="9"/>
        <v>75.099999999999994</v>
      </c>
      <c r="Z25" s="19">
        <f t="shared" si="10"/>
        <v>2</v>
      </c>
    </row>
    <row r="26" spans="2:26">
      <c r="B26" s="1">
        <v>6</v>
      </c>
      <c r="C26" s="1">
        <v>20</v>
      </c>
      <c r="D26" s="1">
        <v>2</v>
      </c>
      <c r="E26" s="1">
        <v>3</v>
      </c>
      <c r="F26" s="17">
        <v>0.01</v>
      </c>
      <c r="G26" s="18">
        <f t="shared" si="0"/>
        <v>20</v>
      </c>
      <c r="H26" s="1" t="s">
        <v>55</v>
      </c>
      <c r="I26" s="17">
        <v>0.01</v>
      </c>
      <c r="J26" s="18">
        <f t="shared" si="11"/>
        <v>20</v>
      </c>
      <c r="K26" s="18">
        <f t="shared" si="1"/>
        <v>0.01</v>
      </c>
      <c r="L26" s="17">
        <f t="shared" si="2"/>
        <v>0.05</v>
      </c>
      <c r="M26" s="1">
        <v>6983</v>
      </c>
      <c r="N26" s="17">
        <f t="shared" si="3"/>
        <v>84</v>
      </c>
      <c r="O26" s="1">
        <v>6336</v>
      </c>
      <c r="P26" s="17">
        <f t="shared" si="4"/>
        <v>80</v>
      </c>
      <c r="Q26" s="1">
        <v>1328</v>
      </c>
      <c r="R26" s="17">
        <f t="shared" si="5"/>
        <v>36</v>
      </c>
      <c r="S26" s="1">
        <f t="shared" si="12"/>
        <v>66.400000000000006</v>
      </c>
      <c r="T26" s="17">
        <f t="shared" si="7"/>
        <v>1.8331999999999999</v>
      </c>
      <c r="V26" s="1">
        <v>1</v>
      </c>
      <c r="X26" s="19">
        <f t="shared" si="8"/>
        <v>6</v>
      </c>
      <c r="Y26" s="26">
        <f t="shared" si="9"/>
        <v>66.400000000000006</v>
      </c>
      <c r="Z26" s="19">
        <f t="shared" si="10"/>
        <v>1.8</v>
      </c>
    </row>
    <row r="27" spans="2:26">
      <c r="B27" s="1">
        <v>7</v>
      </c>
      <c r="C27" s="1">
        <v>20</v>
      </c>
      <c r="D27" s="1">
        <v>2</v>
      </c>
      <c r="E27" s="1">
        <v>3</v>
      </c>
      <c r="F27" s="17">
        <v>0.01</v>
      </c>
      <c r="G27" s="18">
        <f t="shared" si="0"/>
        <v>20</v>
      </c>
      <c r="H27" s="1" t="s">
        <v>55</v>
      </c>
      <c r="I27" s="17">
        <v>0.01</v>
      </c>
      <c r="J27" s="18">
        <f t="shared" si="11"/>
        <v>20</v>
      </c>
      <c r="K27" s="18">
        <f t="shared" si="1"/>
        <v>0.01</v>
      </c>
      <c r="L27" s="17">
        <f t="shared" si="2"/>
        <v>0.05</v>
      </c>
      <c r="M27" s="1">
        <v>6888</v>
      </c>
      <c r="N27" s="17">
        <f t="shared" si="3"/>
        <v>83</v>
      </c>
      <c r="O27" s="1">
        <v>6212</v>
      </c>
      <c r="P27" s="17">
        <f t="shared" si="4"/>
        <v>79</v>
      </c>
      <c r="Q27" s="1">
        <v>1136</v>
      </c>
      <c r="R27" s="17">
        <f t="shared" si="5"/>
        <v>34</v>
      </c>
      <c r="S27" s="1">
        <f t="shared" si="12"/>
        <v>56.8</v>
      </c>
      <c r="T27" s="17">
        <f t="shared" si="7"/>
        <v>1.7283999999999999</v>
      </c>
      <c r="V27" s="1">
        <v>1</v>
      </c>
      <c r="X27" s="19">
        <f t="shared" si="8"/>
        <v>7</v>
      </c>
      <c r="Y27" s="26">
        <f t="shared" si="9"/>
        <v>56.8</v>
      </c>
      <c r="Z27" s="19">
        <f t="shared" si="10"/>
        <v>1.7</v>
      </c>
    </row>
    <row r="28" spans="2:26">
      <c r="B28" s="1">
        <v>8</v>
      </c>
      <c r="C28" s="1">
        <v>20</v>
      </c>
      <c r="D28" s="1">
        <v>2</v>
      </c>
      <c r="E28" s="1">
        <v>3</v>
      </c>
      <c r="F28" s="17">
        <v>0.01</v>
      </c>
      <c r="G28" s="18">
        <f t="shared" si="0"/>
        <v>20</v>
      </c>
      <c r="H28" s="1" t="s">
        <v>55</v>
      </c>
      <c r="I28" s="17">
        <v>0.01</v>
      </c>
      <c r="J28" s="18">
        <f t="shared" si="11"/>
        <v>20</v>
      </c>
      <c r="K28" s="18">
        <f t="shared" si="1"/>
        <v>0.01</v>
      </c>
      <c r="L28" s="17">
        <f t="shared" si="2"/>
        <v>0.05</v>
      </c>
      <c r="M28" s="1">
        <v>6773</v>
      </c>
      <c r="N28" s="17">
        <f t="shared" si="3"/>
        <v>82</v>
      </c>
      <c r="O28" s="1">
        <v>6126</v>
      </c>
      <c r="P28" s="17">
        <f t="shared" si="4"/>
        <v>78</v>
      </c>
      <c r="Q28" s="1">
        <v>927</v>
      </c>
      <c r="R28" s="17">
        <f t="shared" si="5"/>
        <v>30</v>
      </c>
      <c r="S28" s="1">
        <f t="shared" si="12"/>
        <v>46.35</v>
      </c>
      <c r="T28" s="17">
        <f t="shared" si="7"/>
        <v>1.5231749999999999</v>
      </c>
      <c r="V28" s="1">
        <v>1</v>
      </c>
      <c r="X28" s="19">
        <f t="shared" si="8"/>
        <v>8</v>
      </c>
      <c r="Y28" s="26">
        <f t="shared" si="9"/>
        <v>46.4</v>
      </c>
      <c r="Z28" s="19">
        <f t="shared" si="10"/>
        <v>1.5</v>
      </c>
    </row>
    <row r="29" spans="2:26">
      <c r="B29" s="1">
        <v>9</v>
      </c>
      <c r="C29" s="1">
        <v>20</v>
      </c>
      <c r="D29" s="1">
        <v>2</v>
      </c>
      <c r="E29" s="1">
        <v>3</v>
      </c>
      <c r="F29" s="17">
        <v>0.01</v>
      </c>
      <c r="G29" s="18">
        <f t="shared" si="0"/>
        <v>20</v>
      </c>
      <c r="H29" s="1" t="s">
        <v>55</v>
      </c>
      <c r="I29" s="17">
        <v>0.01</v>
      </c>
      <c r="J29" s="18">
        <f t="shared" si="11"/>
        <v>20</v>
      </c>
      <c r="K29" s="18">
        <f t="shared" si="1"/>
        <v>0.01</v>
      </c>
      <c r="L29" s="17">
        <f t="shared" si="2"/>
        <v>0.05</v>
      </c>
      <c r="M29" s="1">
        <v>6890</v>
      </c>
      <c r="N29" s="17">
        <f t="shared" si="3"/>
        <v>83</v>
      </c>
      <c r="O29" s="1">
        <v>6197</v>
      </c>
      <c r="P29" s="17">
        <f t="shared" si="4"/>
        <v>79</v>
      </c>
      <c r="Q29" s="1">
        <v>836</v>
      </c>
      <c r="R29" s="17">
        <f t="shared" si="5"/>
        <v>29</v>
      </c>
      <c r="S29" s="1">
        <f t="shared" si="12"/>
        <v>41.8</v>
      </c>
      <c r="T29" s="17">
        <f t="shared" si="7"/>
        <v>1.4708999999999999</v>
      </c>
      <c r="V29" s="1">
        <v>1</v>
      </c>
      <c r="X29" s="19">
        <f t="shared" si="8"/>
        <v>9</v>
      </c>
      <c r="Y29" s="26">
        <f t="shared" si="9"/>
        <v>41.8</v>
      </c>
      <c r="Z29" s="26">
        <f t="shared" si="10"/>
        <v>1.5</v>
      </c>
    </row>
    <row r="30" spans="2:26">
      <c r="B30" s="1">
        <v>10</v>
      </c>
      <c r="C30" s="1">
        <v>60</v>
      </c>
      <c r="D30" s="1">
        <v>2</v>
      </c>
      <c r="E30" s="1">
        <v>3</v>
      </c>
      <c r="F30" s="17">
        <v>0.01</v>
      </c>
      <c r="G30" s="18">
        <f t="shared" si="0"/>
        <v>20</v>
      </c>
      <c r="H30" s="1" t="s">
        <v>55</v>
      </c>
      <c r="I30" s="17">
        <v>0.01</v>
      </c>
      <c r="J30" s="28">
        <v>60</v>
      </c>
      <c r="K30" s="18">
        <f t="shared" si="1"/>
        <v>0.01</v>
      </c>
      <c r="L30" s="17">
        <f t="shared" si="2"/>
        <v>1.6666666666666666E-2</v>
      </c>
      <c r="M30" s="1">
        <v>6879</v>
      </c>
      <c r="N30" s="17">
        <f t="shared" si="3"/>
        <v>83</v>
      </c>
      <c r="O30" s="1">
        <v>6259</v>
      </c>
      <c r="P30" s="17">
        <f t="shared" si="4"/>
        <v>79</v>
      </c>
      <c r="Q30" s="1">
        <v>659</v>
      </c>
      <c r="R30" s="17">
        <f t="shared" si="5"/>
        <v>26</v>
      </c>
      <c r="S30" s="1">
        <f t="shared" si="12"/>
        <v>10.983333333333333</v>
      </c>
      <c r="T30" s="17">
        <f t="shared" si="7"/>
        <v>0.43516388888888891</v>
      </c>
      <c r="V30" s="1">
        <v>1</v>
      </c>
      <c r="X30" s="19">
        <f t="shared" si="8"/>
        <v>10</v>
      </c>
      <c r="Y30" s="26">
        <f t="shared" si="9"/>
        <v>11</v>
      </c>
      <c r="Z30" s="19">
        <f t="shared" si="10"/>
        <v>0.4</v>
      </c>
    </row>
    <row r="31" spans="2:26">
      <c r="B31" s="17">
        <v>15</v>
      </c>
      <c r="C31" s="17">
        <v>60</v>
      </c>
      <c r="D31" s="17">
        <v>6</v>
      </c>
      <c r="E31" s="17">
        <v>3</v>
      </c>
      <c r="F31" s="17">
        <v>0.01</v>
      </c>
      <c r="G31" s="18">
        <f t="shared" si="0"/>
        <v>60</v>
      </c>
      <c r="H31" s="17" t="s">
        <v>55</v>
      </c>
      <c r="I31" s="17">
        <v>0.01</v>
      </c>
      <c r="J31" s="18">
        <f>IF(H31="min",G31*60,G31)</f>
        <v>60</v>
      </c>
      <c r="K31" s="18">
        <f t="shared" si="1"/>
        <v>0.01</v>
      </c>
      <c r="L31" s="17">
        <f t="shared" si="2"/>
        <v>1.6666666666666666E-2</v>
      </c>
      <c r="M31" s="17">
        <v>20501</v>
      </c>
      <c r="N31" s="17">
        <f t="shared" si="3"/>
        <v>143</v>
      </c>
      <c r="O31" s="17">
        <v>18605</v>
      </c>
      <c r="P31" s="17">
        <f t="shared" si="4"/>
        <v>136</v>
      </c>
      <c r="Q31" s="17">
        <v>313</v>
      </c>
      <c r="R31" s="17">
        <f t="shared" si="5"/>
        <v>18</v>
      </c>
      <c r="S31" s="17">
        <f t="shared" si="12"/>
        <v>5.2166666666666668</v>
      </c>
      <c r="T31" s="17">
        <f t="shared" si="7"/>
        <v>0.30086944444444441</v>
      </c>
      <c r="U31" s="17"/>
      <c r="V31" s="17">
        <v>1</v>
      </c>
      <c r="W31" s="17"/>
      <c r="X31" s="19">
        <f t="shared" si="8"/>
        <v>15</v>
      </c>
      <c r="Y31" s="26">
        <f t="shared" si="9"/>
        <v>5.2</v>
      </c>
      <c r="Z31" s="19">
        <f t="shared" si="10"/>
        <v>0.3</v>
      </c>
    </row>
    <row r="32" spans="2:26">
      <c r="B32" s="17">
        <v>20</v>
      </c>
      <c r="C32" s="17">
        <v>60</v>
      </c>
      <c r="D32" s="17">
        <v>2</v>
      </c>
      <c r="E32" s="17">
        <v>2</v>
      </c>
      <c r="F32" s="17">
        <v>0.01</v>
      </c>
      <c r="G32" s="18">
        <f t="shared" si="0"/>
        <v>2</v>
      </c>
      <c r="H32" s="17" t="s">
        <v>54</v>
      </c>
      <c r="I32" s="17">
        <v>0.01</v>
      </c>
      <c r="J32" s="18">
        <v>60</v>
      </c>
      <c r="K32" s="18">
        <f t="shared" si="1"/>
        <v>0.6</v>
      </c>
      <c r="L32" s="17">
        <f t="shared" si="2"/>
        <v>1</v>
      </c>
      <c r="M32" s="17">
        <v>20517</v>
      </c>
      <c r="N32" s="17">
        <f t="shared" si="3"/>
        <v>143</v>
      </c>
      <c r="O32" s="17">
        <v>18731</v>
      </c>
      <c r="P32" s="17">
        <f t="shared" si="4"/>
        <v>137</v>
      </c>
      <c r="Q32" s="17">
        <v>62</v>
      </c>
      <c r="R32" s="17">
        <f t="shared" si="5"/>
        <v>8</v>
      </c>
      <c r="S32" s="17">
        <f t="shared" si="12"/>
        <v>1.0333333333333334</v>
      </c>
      <c r="T32" s="17">
        <f t="shared" si="7"/>
        <v>0.14366666666666666</v>
      </c>
      <c r="U32" s="17"/>
      <c r="V32" s="17">
        <v>1</v>
      </c>
      <c r="W32" s="17"/>
      <c r="X32" s="19">
        <f t="shared" si="8"/>
        <v>20</v>
      </c>
      <c r="Y32" s="26">
        <f t="shared" si="9"/>
        <v>1</v>
      </c>
      <c r="Z32" s="19">
        <f t="shared" si="10"/>
        <v>0.1</v>
      </c>
    </row>
    <row r="33" spans="2:29">
      <c r="B33" s="17">
        <v>25</v>
      </c>
      <c r="C33" s="17">
        <v>60</v>
      </c>
      <c r="D33" s="17">
        <v>2</v>
      </c>
      <c r="E33" s="17">
        <v>2</v>
      </c>
      <c r="F33" s="17">
        <v>0.01</v>
      </c>
      <c r="G33" s="18">
        <f t="shared" si="0"/>
        <v>2</v>
      </c>
      <c r="H33" s="17" t="s">
        <v>54</v>
      </c>
      <c r="I33" s="17">
        <v>0.01</v>
      </c>
      <c r="J33" s="18">
        <v>60</v>
      </c>
      <c r="K33" s="18">
        <f t="shared" si="1"/>
        <v>0.6</v>
      </c>
      <c r="L33" s="17">
        <f t="shared" si="2"/>
        <v>1</v>
      </c>
      <c r="M33" s="17">
        <v>20282</v>
      </c>
      <c r="N33" s="17">
        <f t="shared" si="3"/>
        <v>142</v>
      </c>
      <c r="O33" s="17">
        <v>18816</v>
      </c>
      <c r="P33" s="17">
        <f t="shared" si="4"/>
        <v>137</v>
      </c>
      <c r="Q33" s="17">
        <v>34</v>
      </c>
      <c r="R33" s="17">
        <f t="shared" si="5"/>
        <v>6</v>
      </c>
      <c r="S33" s="17">
        <f t="shared" si="12"/>
        <v>0.56666666666666665</v>
      </c>
      <c r="T33" s="17">
        <f t="shared" si="7"/>
        <v>0.10566666666666667</v>
      </c>
      <c r="U33" s="17"/>
      <c r="V33" s="17">
        <v>1</v>
      </c>
      <c r="W33" s="17"/>
      <c r="X33" s="19">
        <f t="shared" si="8"/>
        <v>25</v>
      </c>
      <c r="Y33" s="26">
        <f t="shared" si="9"/>
        <v>0.6</v>
      </c>
      <c r="Z33" s="19">
        <f t="shared" si="10"/>
        <v>0.1</v>
      </c>
    </row>
    <row r="34" spans="2:29">
      <c r="B34" s="17">
        <v>30</v>
      </c>
      <c r="C34" s="17">
        <v>60</v>
      </c>
      <c r="D34" s="17">
        <v>2</v>
      </c>
      <c r="E34" s="17">
        <v>2</v>
      </c>
      <c r="F34" s="17">
        <v>0.01</v>
      </c>
      <c r="G34" s="18">
        <f t="shared" si="0"/>
        <v>2</v>
      </c>
      <c r="H34" s="17" t="s">
        <v>54</v>
      </c>
      <c r="I34" s="17">
        <v>0.01</v>
      </c>
      <c r="J34" s="18">
        <v>60</v>
      </c>
      <c r="K34" s="18">
        <f t="shared" si="1"/>
        <v>0.6</v>
      </c>
      <c r="L34" s="17">
        <f t="shared" si="2"/>
        <v>1</v>
      </c>
      <c r="M34" s="17">
        <v>20470</v>
      </c>
      <c r="N34" s="17">
        <f t="shared" si="3"/>
        <v>143</v>
      </c>
      <c r="O34" s="17">
        <v>18610</v>
      </c>
      <c r="P34" s="17">
        <f t="shared" si="4"/>
        <v>136</v>
      </c>
      <c r="Q34" s="17">
        <v>23</v>
      </c>
      <c r="R34" s="17">
        <f t="shared" si="5"/>
        <v>5</v>
      </c>
      <c r="S34" s="17">
        <f t="shared" si="12"/>
        <v>0.38333333333333336</v>
      </c>
      <c r="T34" s="17">
        <f t="shared" si="7"/>
        <v>8.7166666666666656E-2</v>
      </c>
      <c r="U34" s="17"/>
      <c r="V34" s="17">
        <v>1</v>
      </c>
      <c r="W34" s="17"/>
      <c r="X34" s="19">
        <f t="shared" si="8"/>
        <v>30</v>
      </c>
      <c r="Y34" s="26">
        <f t="shared" si="9"/>
        <v>0.4</v>
      </c>
      <c r="Z34" s="19">
        <f t="shared" si="10"/>
        <v>0.1</v>
      </c>
    </row>
    <row r="35" spans="2:29">
      <c r="B35" s="17">
        <v>35</v>
      </c>
      <c r="C35" s="17">
        <v>60</v>
      </c>
      <c r="D35" s="17">
        <v>2</v>
      </c>
      <c r="E35" s="17">
        <v>2</v>
      </c>
      <c r="F35" s="17">
        <v>0.01</v>
      </c>
      <c r="G35" s="18">
        <f t="shared" si="0"/>
        <v>2</v>
      </c>
      <c r="H35" s="17" t="s">
        <v>54</v>
      </c>
      <c r="I35" s="17">
        <v>0.01</v>
      </c>
      <c r="J35" s="18">
        <v>60</v>
      </c>
      <c r="K35" s="18">
        <f t="shared" si="1"/>
        <v>0.6</v>
      </c>
      <c r="L35" s="17">
        <f t="shared" si="2"/>
        <v>1</v>
      </c>
      <c r="M35" s="17">
        <v>20567</v>
      </c>
      <c r="N35" s="17">
        <f t="shared" si="3"/>
        <v>143</v>
      </c>
      <c r="O35" s="17">
        <v>18869</v>
      </c>
      <c r="P35" s="17">
        <f t="shared" si="4"/>
        <v>137</v>
      </c>
      <c r="Q35" s="17">
        <v>16</v>
      </c>
      <c r="R35" s="17">
        <f t="shared" si="5"/>
        <v>4</v>
      </c>
      <c r="S35" s="17">
        <f t="shared" si="12"/>
        <v>0.26666666666666666</v>
      </c>
      <c r="T35" s="17">
        <f t="shared" si="7"/>
        <v>6.933333333333333E-2</v>
      </c>
      <c r="U35" s="17"/>
      <c r="V35" s="17">
        <v>1</v>
      </c>
      <c r="W35" s="17"/>
      <c r="X35" s="19">
        <f t="shared" si="8"/>
        <v>35</v>
      </c>
      <c r="Y35" s="26">
        <f t="shared" si="9"/>
        <v>0.3</v>
      </c>
      <c r="Z35" s="19">
        <f t="shared" si="10"/>
        <v>0.1</v>
      </c>
    </row>
    <row r="40" spans="2:29">
      <c r="B40" s="15" t="s">
        <v>38</v>
      </c>
      <c r="C40" s="15" t="s">
        <v>39</v>
      </c>
      <c r="D40" s="16" t="s">
        <v>40</v>
      </c>
      <c r="E40" s="16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Y40" s="15"/>
      <c r="Z40" s="15"/>
    </row>
    <row r="41" spans="2:29">
      <c r="B41" s="17">
        <v>-20</v>
      </c>
      <c r="C41" s="17">
        <v>120</v>
      </c>
      <c r="D41" s="17">
        <v>2</v>
      </c>
      <c r="E41" s="17"/>
      <c r="F41" s="17"/>
      <c r="G41" s="18"/>
      <c r="H41" s="17"/>
      <c r="I41" s="17"/>
      <c r="J41" s="18"/>
      <c r="K41" s="1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9"/>
      <c r="Y41" s="24"/>
      <c r="Z41" s="19"/>
      <c r="AA41" s="17"/>
      <c r="AB41" s="17">
        <f t="shared" ref="AB41:AB67" si="13">X41*PI()/180</f>
        <v>0</v>
      </c>
      <c r="AC41" s="25">
        <f t="shared" ref="AC41:AC67" si="14">Y41</f>
        <v>0</v>
      </c>
    </row>
    <row r="42" spans="2:29">
      <c r="B42" s="17">
        <v>-15</v>
      </c>
      <c r="C42" s="17">
        <v>60</v>
      </c>
      <c r="D42" s="17">
        <v>1</v>
      </c>
      <c r="E42" s="17"/>
      <c r="F42" s="17"/>
      <c r="G42" s="18"/>
      <c r="H42" s="17"/>
      <c r="I42" s="17"/>
      <c r="J42" s="18"/>
      <c r="K42" s="1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9"/>
      <c r="Y42" s="19"/>
      <c r="Z42" s="19"/>
      <c r="AA42" s="17"/>
      <c r="AB42" s="17">
        <f t="shared" si="13"/>
        <v>0</v>
      </c>
      <c r="AC42" s="17">
        <f t="shared" si="14"/>
        <v>0</v>
      </c>
    </row>
    <row r="43" spans="2:29">
      <c r="B43" s="17">
        <v>-12</v>
      </c>
      <c r="C43" s="17">
        <v>60</v>
      </c>
      <c r="D43" s="17">
        <v>6</v>
      </c>
      <c r="E43" s="17">
        <v>3</v>
      </c>
      <c r="F43" s="17">
        <v>0.01</v>
      </c>
      <c r="G43" s="18">
        <f>F43*D43*10^E43</f>
        <v>60</v>
      </c>
      <c r="H43" s="17" t="s">
        <v>55</v>
      </c>
      <c r="I43" s="17">
        <v>0.01</v>
      </c>
      <c r="J43" s="18">
        <f>IF(H43="min",G43*60,G43)</f>
        <v>60</v>
      </c>
      <c r="K43" s="18">
        <f t="shared" ref="K43:K51" si="15">IF(H43="min",I43*60,I43)</f>
        <v>0.01</v>
      </c>
      <c r="L43" s="17">
        <f t="shared" ref="L43:L51" si="16">K43/J43*100</f>
        <v>1.6666666666666666E-2</v>
      </c>
      <c r="M43" s="17">
        <v>25579</v>
      </c>
      <c r="N43" s="17">
        <f t="shared" ref="N43:N51" si="17">ROUND( SQRT(M43),0)</f>
        <v>160</v>
      </c>
      <c r="O43" s="17">
        <v>9232</v>
      </c>
      <c r="P43" s="17">
        <f t="shared" ref="P43:P51" si="18">ROUND( SQRT(O43),0)</f>
        <v>96</v>
      </c>
      <c r="Q43" s="17">
        <v>1521</v>
      </c>
      <c r="R43" s="17">
        <f t="shared" ref="R43:R51" si="19">ROUND( SQRT(Q43),0)</f>
        <v>39</v>
      </c>
      <c r="S43" s="17">
        <f>Q43/J43</f>
        <v>25.35</v>
      </c>
      <c r="T43" s="17">
        <f t="shared" ref="T43:T51" si="20">ABS(R43/J43) + ABS(Q43/J43/J43*K43)</f>
        <v>0.65422500000000006</v>
      </c>
      <c r="U43" s="17"/>
      <c r="V43" s="17">
        <v>2</v>
      </c>
      <c r="W43" s="17"/>
      <c r="X43" s="19">
        <f t="shared" ref="X43:X51" si="21">B43</f>
        <v>-12</v>
      </c>
      <c r="Y43" s="19">
        <f t="shared" ref="Y43:Y51" si="22">ROUND(S43,V43)</f>
        <v>25.35</v>
      </c>
      <c r="Z43" s="19">
        <f t="shared" ref="Z43:Z51" si="23">ROUND(T43,V43)</f>
        <v>0.65</v>
      </c>
      <c r="AA43" s="17"/>
      <c r="AB43" s="17">
        <f t="shared" si="13"/>
        <v>-0.20943951023931953</v>
      </c>
      <c r="AC43" s="17">
        <f t="shared" si="14"/>
        <v>25.35</v>
      </c>
    </row>
    <row r="44" spans="2:29">
      <c r="B44" s="1">
        <v>-10</v>
      </c>
      <c r="C44" s="1">
        <v>60</v>
      </c>
      <c r="D44" s="1">
        <v>2</v>
      </c>
      <c r="E44" s="1">
        <v>3</v>
      </c>
      <c r="F44" s="17">
        <v>0.01</v>
      </c>
      <c r="G44" s="18">
        <v>60</v>
      </c>
      <c r="H44" s="1" t="s">
        <v>55</v>
      </c>
      <c r="I44" s="17">
        <v>0.01</v>
      </c>
      <c r="J44" s="28">
        <v>60</v>
      </c>
      <c r="K44" s="18">
        <f t="shared" si="15"/>
        <v>0.01</v>
      </c>
      <c r="L44" s="17">
        <f t="shared" si="16"/>
        <v>1.6666666666666666E-2</v>
      </c>
      <c r="M44" s="1">
        <v>21079</v>
      </c>
      <c r="N44" s="17">
        <f t="shared" si="17"/>
        <v>145</v>
      </c>
      <c r="O44" s="1">
        <v>10318</v>
      </c>
      <c r="P44" s="17">
        <f t="shared" si="18"/>
        <v>102</v>
      </c>
      <c r="Q44" s="1">
        <v>1693</v>
      </c>
      <c r="R44" s="17">
        <f t="shared" si="19"/>
        <v>41</v>
      </c>
      <c r="S44" s="1">
        <f t="shared" ref="S44:S51" si="24">Q44/C44</f>
        <v>28.216666666666665</v>
      </c>
      <c r="T44" s="17">
        <f t="shared" si="20"/>
        <v>0.68803611111111107</v>
      </c>
      <c r="V44" s="1">
        <v>1</v>
      </c>
      <c r="X44" s="19">
        <f t="shared" si="21"/>
        <v>-10</v>
      </c>
      <c r="Y44" s="26">
        <f t="shared" si="22"/>
        <v>28.2</v>
      </c>
      <c r="Z44" s="19">
        <f t="shared" si="23"/>
        <v>0.7</v>
      </c>
      <c r="AB44" s="17">
        <f t="shared" si="13"/>
        <v>-0.17453292519943295</v>
      </c>
      <c r="AC44" s="27">
        <f t="shared" si="14"/>
        <v>28.2</v>
      </c>
    </row>
    <row r="45" spans="2:29">
      <c r="B45" s="1">
        <v>-9</v>
      </c>
      <c r="C45" s="1">
        <v>60</v>
      </c>
      <c r="D45" s="1">
        <v>2</v>
      </c>
      <c r="E45" s="1">
        <v>3</v>
      </c>
      <c r="F45" s="17">
        <v>0.01</v>
      </c>
      <c r="G45" s="18">
        <v>60</v>
      </c>
      <c r="H45" s="1" t="s">
        <v>55</v>
      </c>
      <c r="I45" s="17">
        <v>0.01</v>
      </c>
      <c r="J45" s="28">
        <v>60</v>
      </c>
      <c r="K45" s="18">
        <f t="shared" si="15"/>
        <v>0.01</v>
      </c>
      <c r="L45" s="17">
        <f t="shared" si="16"/>
        <v>1.6666666666666666E-2</v>
      </c>
      <c r="M45" s="1">
        <v>17869</v>
      </c>
      <c r="N45" s="17">
        <f t="shared" si="17"/>
        <v>134</v>
      </c>
      <c r="O45" s="1">
        <v>11845</v>
      </c>
      <c r="P45" s="17">
        <f t="shared" si="18"/>
        <v>109</v>
      </c>
      <c r="Q45" s="1">
        <v>2002</v>
      </c>
      <c r="R45" s="17">
        <f t="shared" si="19"/>
        <v>45</v>
      </c>
      <c r="S45" s="1">
        <f t="shared" si="24"/>
        <v>33.366666666666667</v>
      </c>
      <c r="T45" s="17">
        <f t="shared" si="20"/>
        <v>0.75556111111111113</v>
      </c>
      <c r="V45" s="1">
        <v>1</v>
      </c>
      <c r="X45" s="19">
        <f t="shared" si="21"/>
        <v>-9</v>
      </c>
      <c r="Y45" s="26">
        <f t="shared" si="22"/>
        <v>33.4</v>
      </c>
      <c r="Z45" s="19">
        <f t="shared" si="23"/>
        <v>0.8</v>
      </c>
      <c r="AB45" s="17">
        <f t="shared" si="13"/>
        <v>-0.15707963267948966</v>
      </c>
      <c r="AC45" s="27">
        <f t="shared" si="14"/>
        <v>33.4</v>
      </c>
    </row>
    <row r="46" spans="2:29">
      <c r="B46" s="1">
        <v>-8</v>
      </c>
      <c r="C46" s="1">
        <v>60</v>
      </c>
      <c r="D46" s="1">
        <v>2</v>
      </c>
      <c r="E46" s="1">
        <v>3</v>
      </c>
      <c r="F46" s="17">
        <v>0.01</v>
      </c>
      <c r="G46" s="18">
        <v>60</v>
      </c>
      <c r="H46" s="1" t="s">
        <v>55</v>
      </c>
      <c r="I46" s="17">
        <v>0.01</v>
      </c>
      <c r="J46" s="28">
        <v>60</v>
      </c>
      <c r="K46" s="18">
        <f t="shared" si="15"/>
        <v>0.01</v>
      </c>
      <c r="L46" s="17">
        <f t="shared" si="16"/>
        <v>1.6666666666666666E-2</v>
      </c>
      <c r="M46" s="1">
        <v>15123</v>
      </c>
      <c r="N46" s="17">
        <f t="shared" si="17"/>
        <v>123</v>
      </c>
      <c r="O46" s="1">
        <v>13457</v>
      </c>
      <c r="P46" s="17">
        <f t="shared" si="18"/>
        <v>116</v>
      </c>
      <c r="Q46" s="1">
        <v>2153</v>
      </c>
      <c r="R46" s="17">
        <f t="shared" si="19"/>
        <v>46</v>
      </c>
      <c r="S46" s="1">
        <f t="shared" si="24"/>
        <v>35.883333333333333</v>
      </c>
      <c r="T46" s="17">
        <f t="shared" si="20"/>
        <v>0.77264722222222226</v>
      </c>
      <c r="V46" s="1">
        <v>1</v>
      </c>
      <c r="X46" s="19">
        <f t="shared" si="21"/>
        <v>-8</v>
      </c>
      <c r="Y46" s="26">
        <f t="shared" si="22"/>
        <v>35.9</v>
      </c>
      <c r="Z46" s="19">
        <f t="shared" si="23"/>
        <v>0.8</v>
      </c>
      <c r="AB46" s="17">
        <f t="shared" si="13"/>
        <v>-0.13962634015954636</v>
      </c>
      <c r="AC46" s="27">
        <f t="shared" si="14"/>
        <v>35.9</v>
      </c>
    </row>
    <row r="47" spans="2:29">
      <c r="B47" s="1">
        <v>-7</v>
      </c>
      <c r="C47" s="1">
        <v>60</v>
      </c>
      <c r="D47" s="1">
        <v>2</v>
      </c>
      <c r="E47" s="1">
        <v>3</v>
      </c>
      <c r="F47" s="17">
        <v>0.01</v>
      </c>
      <c r="G47" s="18">
        <v>60</v>
      </c>
      <c r="H47" s="1" t="s">
        <v>55</v>
      </c>
      <c r="I47" s="17">
        <v>0.01</v>
      </c>
      <c r="J47" s="28">
        <v>60</v>
      </c>
      <c r="K47" s="18">
        <f t="shared" si="15"/>
        <v>0.01</v>
      </c>
      <c r="L47" s="17">
        <f t="shared" si="16"/>
        <v>1.6666666666666666E-2</v>
      </c>
      <c r="M47" s="1">
        <v>13332</v>
      </c>
      <c r="N47" s="17">
        <f t="shared" si="17"/>
        <v>115</v>
      </c>
      <c r="O47" s="1">
        <v>15497</v>
      </c>
      <c r="P47" s="17">
        <f t="shared" si="18"/>
        <v>124</v>
      </c>
      <c r="Q47" s="1">
        <v>2301</v>
      </c>
      <c r="R47" s="17">
        <f t="shared" si="19"/>
        <v>48</v>
      </c>
      <c r="S47" s="1">
        <f t="shared" si="24"/>
        <v>38.35</v>
      </c>
      <c r="T47" s="17">
        <f t="shared" si="20"/>
        <v>0.80639166666666673</v>
      </c>
      <c r="V47" s="1">
        <v>1</v>
      </c>
      <c r="X47" s="19">
        <f t="shared" si="21"/>
        <v>-7</v>
      </c>
      <c r="Y47" s="26">
        <f t="shared" si="22"/>
        <v>38.4</v>
      </c>
      <c r="Z47" s="19">
        <f t="shared" si="23"/>
        <v>0.8</v>
      </c>
      <c r="AB47" s="17">
        <f t="shared" si="13"/>
        <v>-0.12217304763960307</v>
      </c>
      <c r="AC47" s="27">
        <f t="shared" si="14"/>
        <v>38.4</v>
      </c>
    </row>
    <row r="48" spans="2:29">
      <c r="B48" s="1">
        <v>-6</v>
      </c>
      <c r="C48" s="1">
        <v>60</v>
      </c>
      <c r="D48" s="1">
        <v>2</v>
      </c>
      <c r="E48" s="1">
        <v>3</v>
      </c>
      <c r="F48" s="17">
        <v>0.01</v>
      </c>
      <c r="G48" s="18">
        <v>60</v>
      </c>
      <c r="H48" s="1" t="s">
        <v>55</v>
      </c>
      <c r="I48" s="17">
        <v>0.01</v>
      </c>
      <c r="J48" s="28">
        <v>60</v>
      </c>
      <c r="K48" s="18">
        <f t="shared" si="15"/>
        <v>0.01</v>
      </c>
      <c r="L48" s="17">
        <f t="shared" si="16"/>
        <v>1.6666666666666666E-2</v>
      </c>
      <c r="M48" s="1">
        <v>11702</v>
      </c>
      <c r="N48" s="17">
        <f t="shared" si="17"/>
        <v>108</v>
      </c>
      <c r="O48" s="1">
        <v>17435</v>
      </c>
      <c r="P48" s="17">
        <f t="shared" si="18"/>
        <v>132</v>
      </c>
      <c r="Q48" s="1">
        <v>2153</v>
      </c>
      <c r="R48" s="17">
        <f t="shared" si="19"/>
        <v>46</v>
      </c>
      <c r="S48" s="1">
        <f t="shared" si="24"/>
        <v>35.883333333333333</v>
      </c>
      <c r="T48" s="17">
        <f t="shared" si="20"/>
        <v>0.77264722222222226</v>
      </c>
      <c r="V48" s="1">
        <v>1</v>
      </c>
      <c r="X48" s="19">
        <f t="shared" si="21"/>
        <v>-6</v>
      </c>
      <c r="Y48" s="26">
        <f t="shared" si="22"/>
        <v>35.9</v>
      </c>
      <c r="Z48" s="19">
        <f t="shared" si="23"/>
        <v>0.8</v>
      </c>
      <c r="AB48" s="17">
        <f t="shared" si="13"/>
        <v>-0.10471975511965977</v>
      </c>
      <c r="AC48" s="27">
        <f t="shared" si="14"/>
        <v>35.9</v>
      </c>
    </row>
    <row r="49" spans="2:29">
      <c r="B49" s="1">
        <v>-5</v>
      </c>
      <c r="C49" s="1">
        <v>60</v>
      </c>
      <c r="D49" s="1">
        <v>2</v>
      </c>
      <c r="E49" s="1">
        <v>3</v>
      </c>
      <c r="F49" s="17">
        <v>0.01</v>
      </c>
      <c r="G49" s="18">
        <v>60</v>
      </c>
      <c r="H49" s="1" t="s">
        <v>55</v>
      </c>
      <c r="I49" s="17">
        <v>0.01</v>
      </c>
      <c r="J49" s="28">
        <v>60</v>
      </c>
      <c r="K49" s="18">
        <f t="shared" si="15"/>
        <v>0.01</v>
      </c>
      <c r="L49" s="17">
        <f t="shared" si="16"/>
        <v>1.6666666666666666E-2</v>
      </c>
      <c r="M49" s="1">
        <v>10272</v>
      </c>
      <c r="N49" s="17">
        <f t="shared" si="17"/>
        <v>101</v>
      </c>
      <c r="O49" s="1">
        <v>20504</v>
      </c>
      <c r="P49" s="17">
        <f t="shared" si="18"/>
        <v>143</v>
      </c>
      <c r="Q49" s="1">
        <v>1917</v>
      </c>
      <c r="R49" s="17">
        <f t="shared" si="19"/>
        <v>44</v>
      </c>
      <c r="S49" s="1">
        <f t="shared" si="24"/>
        <v>31.95</v>
      </c>
      <c r="T49" s="17">
        <f t="shared" si="20"/>
        <v>0.73865833333333331</v>
      </c>
      <c r="V49" s="1">
        <v>1</v>
      </c>
      <c r="X49" s="19">
        <f t="shared" si="21"/>
        <v>-5</v>
      </c>
      <c r="Y49" s="26">
        <f t="shared" si="22"/>
        <v>32</v>
      </c>
      <c r="Z49" s="26">
        <f t="shared" si="23"/>
        <v>0.7</v>
      </c>
      <c r="AB49" s="17">
        <f t="shared" si="13"/>
        <v>-8.7266462599716474E-2</v>
      </c>
      <c r="AC49" s="27">
        <f t="shared" si="14"/>
        <v>32</v>
      </c>
    </row>
    <row r="50" spans="2:29">
      <c r="B50" s="1">
        <v>-4</v>
      </c>
      <c r="C50" s="1">
        <v>60</v>
      </c>
      <c r="D50" s="1">
        <v>2</v>
      </c>
      <c r="E50" s="1">
        <v>3</v>
      </c>
      <c r="F50" s="17">
        <v>0.01</v>
      </c>
      <c r="G50" s="18">
        <v>60</v>
      </c>
      <c r="H50" s="1" t="s">
        <v>55</v>
      </c>
      <c r="I50" s="17">
        <v>0.01</v>
      </c>
      <c r="J50" s="28">
        <v>60</v>
      </c>
      <c r="K50" s="18">
        <f t="shared" si="15"/>
        <v>0.01</v>
      </c>
      <c r="L50" s="17">
        <f t="shared" si="16"/>
        <v>1.6666666666666666E-2</v>
      </c>
      <c r="M50" s="1">
        <v>9331</v>
      </c>
      <c r="N50" s="17">
        <f t="shared" si="17"/>
        <v>97</v>
      </c>
      <c r="O50" s="1">
        <v>24266</v>
      </c>
      <c r="P50" s="17">
        <f t="shared" si="18"/>
        <v>156</v>
      </c>
      <c r="Q50" s="1">
        <v>1651</v>
      </c>
      <c r="R50" s="17">
        <f t="shared" si="19"/>
        <v>41</v>
      </c>
      <c r="S50" s="1">
        <f t="shared" si="24"/>
        <v>27.516666666666666</v>
      </c>
      <c r="T50" s="17">
        <f t="shared" si="20"/>
        <v>0.68791944444444442</v>
      </c>
      <c r="V50" s="1">
        <v>1</v>
      </c>
      <c r="X50" s="19">
        <f t="shared" si="21"/>
        <v>-4</v>
      </c>
      <c r="Y50" s="26">
        <f t="shared" si="22"/>
        <v>27.5</v>
      </c>
      <c r="Z50" s="19">
        <f t="shared" si="23"/>
        <v>0.7</v>
      </c>
      <c r="AB50" s="17">
        <f t="shared" si="13"/>
        <v>-6.9813170079773182E-2</v>
      </c>
      <c r="AC50" s="27">
        <f t="shared" si="14"/>
        <v>27.5</v>
      </c>
    </row>
    <row r="51" spans="2:29">
      <c r="B51" s="1">
        <v>-3</v>
      </c>
      <c r="C51" s="1">
        <v>60</v>
      </c>
      <c r="D51" s="1">
        <v>2</v>
      </c>
      <c r="E51" s="1">
        <v>3</v>
      </c>
      <c r="F51" s="17">
        <v>0.01</v>
      </c>
      <c r="G51" s="18">
        <v>60</v>
      </c>
      <c r="H51" s="1" t="s">
        <v>55</v>
      </c>
      <c r="I51" s="17">
        <v>0.01</v>
      </c>
      <c r="J51" s="28">
        <v>60</v>
      </c>
      <c r="K51" s="18">
        <f t="shared" si="15"/>
        <v>0.01</v>
      </c>
      <c r="L51" s="17">
        <f t="shared" si="16"/>
        <v>1.6666666666666666E-2</v>
      </c>
      <c r="M51" s="1">
        <v>8224</v>
      </c>
      <c r="N51" s="17">
        <f t="shared" si="17"/>
        <v>91</v>
      </c>
      <c r="O51" s="1">
        <v>29346</v>
      </c>
      <c r="P51" s="17">
        <f t="shared" si="18"/>
        <v>171</v>
      </c>
      <c r="Q51" s="1">
        <v>1397</v>
      </c>
      <c r="R51" s="17">
        <f t="shared" si="19"/>
        <v>37</v>
      </c>
      <c r="S51" s="1">
        <f t="shared" si="24"/>
        <v>23.283333333333335</v>
      </c>
      <c r="T51" s="17">
        <f t="shared" si="20"/>
        <v>0.62054722222222225</v>
      </c>
      <c r="V51" s="1">
        <v>2</v>
      </c>
      <c r="X51" s="19">
        <f t="shared" si="21"/>
        <v>-3</v>
      </c>
      <c r="Y51" s="26">
        <f t="shared" si="22"/>
        <v>23.28</v>
      </c>
      <c r="Z51" s="19">
        <f t="shared" si="23"/>
        <v>0.62</v>
      </c>
      <c r="AB51" s="17">
        <f t="shared" si="13"/>
        <v>-5.2359877559829883E-2</v>
      </c>
      <c r="AC51" s="27">
        <f t="shared" si="14"/>
        <v>23.28</v>
      </c>
    </row>
    <row r="52" spans="2:29">
      <c r="F52" s="17"/>
      <c r="G52" s="18"/>
      <c r="I52" s="17"/>
      <c r="J52" s="28"/>
      <c r="K52" s="18"/>
      <c r="L52" s="17"/>
      <c r="N52" s="17"/>
      <c r="P52" s="17"/>
      <c r="R52" s="17"/>
      <c r="T52" s="17"/>
      <c r="X52" s="19"/>
      <c r="Y52" s="26"/>
      <c r="Z52" s="19"/>
      <c r="AB52" s="17">
        <f t="shared" si="13"/>
        <v>0</v>
      </c>
      <c r="AC52" s="27">
        <f t="shared" si="14"/>
        <v>0</v>
      </c>
    </row>
    <row r="53" spans="2:29">
      <c r="F53" s="17"/>
      <c r="G53" s="18"/>
      <c r="I53" s="17"/>
      <c r="J53" s="28"/>
      <c r="K53" s="18"/>
      <c r="L53" s="17"/>
      <c r="N53" s="17"/>
      <c r="P53" s="17"/>
      <c r="R53" s="17"/>
      <c r="T53" s="17"/>
      <c r="X53" s="19"/>
      <c r="Y53" s="26"/>
      <c r="Z53" s="19"/>
      <c r="AB53" s="17">
        <f t="shared" si="13"/>
        <v>0</v>
      </c>
      <c r="AC53" s="27">
        <f t="shared" si="14"/>
        <v>0</v>
      </c>
    </row>
    <row r="54" spans="2:29">
      <c r="B54" s="17"/>
      <c r="C54" s="17"/>
      <c r="F54" s="17"/>
      <c r="G54" s="18"/>
      <c r="I54" s="17"/>
      <c r="J54" s="28"/>
      <c r="K54" s="1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9"/>
      <c r="Y54" s="26"/>
      <c r="Z54" s="19"/>
      <c r="AA54" s="17"/>
      <c r="AB54" s="17">
        <f t="shared" si="13"/>
        <v>0</v>
      </c>
      <c r="AC54" s="27">
        <f t="shared" si="14"/>
        <v>0</v>
      </c>
    </row>
    <row r="55" spans="2:29">
      <c r="F55" s="17"/>
      <c r="G55" s="18"/>
      <c r="I55" s="17"/>
      <c r="J55" s="28"/>
      <c r="K55" s="18"/>
      <c r="L55" s="17"/>
      <c r="N55" s="17"/>
      <c r="P55" s="17"/>
      <c r="R55" s="17"/>
      <c r="T55" s="17"/>
      <c r="X55" s="19"/>
      <c r="Y55" s="26"/>
      <c r="Z55" s="19"/>
      <c r="AB55" s="17">
        <f t="shared" si="13"/>
        <v>0</v>
      </c>
      <c r="AC55" s="27">
        <f t="shared" si="14"/>
        <v>0</v>
      </c>
    </row>
    <row r="56" spans="2:29">
      <c r="F56" s="17"/>
      <c r="G56" s="18"/>
      <c r="I56" s="17"/>
      <c r="J56" s="28"/>
      <c r="K56" s="18"/>
      <c r="L56" s="17"/>
      <c r="N56" s="17"/>
      <c r="P56" s="17"/>
      <c r="R56" s="17"/>
      <c r="T56" s="17"/>
      <c r="X56" s="19"/>
      <c r="Y56" s="26"/>
      <c r="Z56" s="26"/>
      <c r="AB56" s="17">
        <f t="shared" si="13"/>
        <v>0</v>
      </c>
      <c r="AC56" s="27">
        <f t="shared" si="14"/>
        <v>0</v>
      </c>
    </row>
    <row r="57" spans="2:29">
      <c r="F57" s="17"/>
      <c r="G57" s="18"/>
      <c r="I57" s="17"/>
      <c r="J57" s="28"/>
      <c r="K57" s="18"/>
      <c r="L57" s="17"/>
      <c r="N57" s="17"/>
      <c r="P57" s="17"/>
      <c r="R57" s="17"/>
      <c r="T57" s="17"/>
      <c r="X57" s="19"/>
      <c r="Y57" s="26"/>
      <c r="Z57" s="19"/>
      <c r="AB57" s="17">
        <f t="shared" si="13"/>
        <v>0</v>
      </c>
      <c r="AC57" s="27">
        <f t="shared" si="14"/>
        <v>0</v>
      </c>
    </row>
    <row r="58" spans="2:29">
      <c r="F58" s="17"/>
      <c r="G58" s="18"/>
      <c r="I58" s="17"/>
      <c r="J58" s="28"/>
      <c r="K58" s="18"/>
      <c r="L58" s="17"/>
      <c r="N58" s="17"/>
      <c r="P58" s="17"/>
      <c r="R58" s="17"/>
      <c r="T58" s="17"/>
      <c r="X58" s="19"/>
      <c r="Y58" s="26"/>
      <c r="Z58" s="19"/>
      <c r="AB58" s="17">
        <f t="shared" si="13"/>
        <v>0</v>
      </c>
      <c r="AC58" s="27">
        <f t="shared" si="14"/>
        <v>0</v>
      </c>
    </row>
    <row r="59" spans="2:29">
      <c r="F59" s="17"/>
      <c r="G59" s="18"/>
      <c r="I59" s="17"/>
      <c r="J59" s="28"/>
      <c r="K59" s="18"/>
      <c r="L59" s="17"/>
      <c r="N59" s="17"/>
      <c r="P59" s="17"/>
      <c r="R59" s="17"/>
      <c r="T59" s="17"/>
      <c r="X59" s="19"/>
      <c r="Y59" s="26"/>
      <c r="Z59" s="19"/>
      <c r="AB59" s="17">
        <f t="shared" si="13"/>
        <v>0</v>
      </c>
      <c r="AC59" s="27">
        <f t="shared" si="14"/>
        <v>0</v>
      </c>
    </row>
    <row r="60" spans="2:29">
      <c r="F60" s="17"/>
      <c r="G60" s="18"/>
      <c r="I60" s="17"/>
      <c r="J60" s="28"/>
      <c r="K60" s="18"/>
      <c r="L60" s="17"/>
      <c r="N60" s="17"/>
      <c r="P60" s="17"/>
      <c r="R60" s="17"/>
      <c r="T60" s="17"/>
      <c r="X60" s="19"/>
      <c r="Y60" s="26"/>
      <c r="Z60" s="19"/>
      <c r="AB60" s="17">
        <f t="shared" si="13"/>
        <v>0</v>
      </c>
      <c r="AC60" s="27">
        <f t="shared" si="14"/>
        <v>0</v>
      </c>
    </row>
    <row r="61" spans="2:29">
      <c r="F61" s="17"/>
      <c r="G61" s="18"/>
      <c r="I61" s="17"/>
      <c r="J61" s="28"/>
      <c r="K61" s="18"/>
      <c r="L61" s="17"/>
      <c r="N61" s="17"/>
      <c r="P61" s="17"/>
      <c r="R61" s="17"/>
      <c r="T61" s="17"/>
      <c r="X61" s="19"/>
      <c r="Y61" s="26"/>
      <c r="Z61" s="19"/>
      <c r="AB61" s="17">
        <f t="shared" si="13"/>
        <v>0</v>
      </c>
      <c r="AC61" s="27">
        <f t="shared" si="14"/>
        <v>0</v>
      </c>
    </row>
    <row r="62" spans="2:29">
      <c r="F62" s="17"/>
      <c r="G62" s="18"/>
      <c r="I62" s="17"/>
      <c r="J62" s="28"/>
      <c r="K62" s="18"/>
      <c r="L62" s="17"/>
      <c r="N62" s="17"/>
      <c r="P62" s="17"/>
      <c r="R62" s="17"/>
      <c r="T62" s="17"/>
      <c r="X62" s="19"/>
      <c r="Y62" s="26"/>
      <c r="Z62" s="19"/>
      <c r="AB62" s="17">
        <f t="shared" si="13"/>
        <v>0</v>
      </c>
      <c r="AC62" s="27">
        <f t="shared" si="14"/>
        <v>0</v>
      </c>
    </row>
    <row r="63" spans="2:29">
      <c r="F63" s="17"/>
      <c r="G63" s="18"/>
      <c r="I63" s="17"/>
      <c r="J63" s="28"/>
      <c r="K63" s="18"/>
      <c r="L63" s="17"/>
      <c r="N63" s="17"/>
      <c r="P63" s="17"/>
      <c r="R63" s="17"/>
      <c r="T63" s="17"/>
      <c r="X63" s="19"/>
      <c r="Y63" s="26"/>
      <c r="Z63" s="26"/>
      <c r="AB63" s="17">
        <f t="shared" si="13"/>
        <v>0</v>
      </c>
      <c r="AC63" s="27">
        <f t="shared" si="14"/>
        <v>0</v>
      </c>
    </row>
    <row r="64" spans="2:29">
      <c r="F64" s="17"/>
      <c r="G64" s="18"/>
      <c r="I64" s="17"/>
      <c r="J64" s="28"/>
      <c r="K64" s="18"/>
      <c r="L64" s="17"/>
      <c r="N64" s="17"/>
      <c r="P64" s="17"/>
      <c r="R64" s="17"/>
      <c r="T64" s="17"/>
      <c r="X64" s="19"/>
      <c r="Y64" s="26"/>
      <c r="Z64" s="19"/>
      <c r="AB64" s="17">
        <f t="shared" si="13"/>
        <v>0</v>
      </c>
      <c r="AC64" s="27">
        <f t="shared" si="14"/>
        <v>0</v>
      </c>
    </row>
    <row r="65" spans="2:29">
      <c r="B65" s="17"/>
      <c r="C65" s="17"/>
      <c r="D65" s="17"/>
      <c r="E65" s="17"/>
      <c r="F65" s="17"/>
      <c r="G65" s="18"/>
      <c r="H65" s="17"/>
      <c r="I65" s="17"/>
      <c r="J65" s="18"/>
      <c r="K65" s="18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9"/>
      <c r="Y65" s="26"/>
      <c r="Z65" s="19"/>
      <c r="AA65" s="17"/>
      <c r="AB65" s="17">
        <f t="shared" si="13"/>
        <v>0</v>
      </c>
      <c r="AC65" s="27">
        <f t="shared" si="14"/>
        <v>0</v>
      </c>
    </row>
    <row r="66" spans="2:29">
      <c r="B66" s="17"/>
      <c r="C66" s="17"/>
      <c r="D66" s="17"/>
      <c r="E66" s="17"/>
      <c r="F66" s="17"/>
      <c r="G66" s="18"/>
      <c r="H66" s="17"/>
      <c r="I66" s="17"/>
      <c r="J66" s="18"/>
      <c r="K66" s="1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9"/>
      <c r="Y66" s="26"/>
      <c r="Z66" s="19"/>
      <c r="AA66" s="17"/>
      <c r="AB66" s="17">
        <f t="shared" si="13"/>
        <v>0</v>
      </c>
      <c r="AC66" s="27">
        <f t="shared" si="14"/>
        <v>0</v>
      </c>
    </row>
    <row r="67" spans="2:29">
      <c r="B67" s="17"/>
      <c r="C67" s="17"/>
      <c r="D67" s="17"/>
      <c r="E67" s="17"/>
      <c r="F67" s="17"/>
      <c r="G67" s="18"/>
      <c r="H67" s="17"/>
      <c r="I67" s="17"/>
      <c r="J67" s="18"/>
      <c r="K67" s="1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9"/>
      <c r="Y67" s="26"/>
      <c r="Z67" s="19"/>
      <c r="AA67" s="17"/>
      <c r="AB67" s="17">
        <f t="shared" si="13"/>
        <v>0</v>
      </c>
      <c r="AC67" s="27">
        <f t="shared" si="14"/>
        <v>0</v>
      </c>
    </row>
    <row r="71" spans="2:29">
      <c r="F71" s="1">
        <v>60</v>
      </c>
      <c r="G71" s="1">
        <v>0.01</v>
      </c>
      <c r="M71" s="1">
        <f t="shared" ref="M71:M79" si="25">(M43/$F$71)</f>
        <v>426.31666666666666</v>
      </c>
      <c r="N71" s="1">
        <f t="shared" ref="N71:N79" si="26">(ABS(1/$F$71)*N43+ABS(M43/$F$71^2)*$G$71)</f>
        <v>2.7377194444444442</v>
      </c>
      <c r="P71" s="29">
        <f t="shared" ref="P71:P79" si="27">(O43/$F$71)</f>
        <v>153.86666666666667</v>
      </c>
      <c r="Q71" s="29">
        <f t="shared" ref="Q71:Q79" si="28">(ABS(1/$F$71)*P43+ABS(O43/$F$71^2)*$G$71)</f>
        <v>1.6256444444444444</v>
      </c>
      <c r="S71" s="29">
        <f t="shared" ref="S71:S79" si="29">(Q43/$F$71)</f>
        <v>25.35</v>
      </c>
    </row>
    <row r="72" spans="2:29">
      <c r="M72" s="1">
        <f t="shared" si="25"/>
        <v>351.31666666666666</v>
      </c>
      <c r="N72" s="1">
        <f t="shared" si="26"/>
        <v>2.4752194444444444</v>
      </c>
      <c r="P72" s="29">
        <f t="shared" si="27"/>
        <v>171.96666666666667</v>
      </c>
      <c r="Q72" s="29">
        <f t="shared" si="28"/>
        <v>1.728661111111111</v>
      </c>
      <c r="S72" s="29">
        <f t="shared" si="29"/>
        <v>28.216666666666665</v>
      </c>
    </row>
    <row r="73" spans="2:29">
      <c r="M73" s="1">
        <f t="shared" si="25"/>
        <v>297.81666666666666</v>
      </c>
      <c r="N73" s="1">
        <f t="shared" si="26"/>
        <v>2.2829694444444444</v>
      </c>
      <c r="P73" s="29">
        <f t="shared" si="27"/>
        <v>197.41666666666666</v>
      </c>
      <c r="Q73" s="29">
        <f t="shared" si="28"/>
        <v>1.8495694444444444</v>
      </c>
      <c r="S73" s="29">
        <f t="shared" si="29"/>
        <v>33.366666666666667</v>
      </c>
    </row>
    <row r="74" spans="2:29">
      <c r="M74" s="1">
        <f t="shared" si="25"/>
        <v>252.05</v>
      </c>
      <c r="N74" s="1">
        <f t="shared" si="26"/>
        <v>2.0920083333333332</v>
      </c>
      <c r="P74" s="29">
        <f t="shared" si="27"/>
        <v>224.28333333333333</v>
      </c>
      <c r="Q74" s="29">
        <f t="shared" si="28"/>
        <v>1.9707138888888889</v>
      </c>
      <c r="S74" s="29">
        <f t="shared" si="29"/>
        <v>35.883333333333333</v>
      </c>
    </row>
    <row r="75" spans="2:29">
      <c r="M75" s="1">
        <f t="shared" si="25"/>
        <v>222.2</v>
      </c>
      <c r="N75" s="1">
        <f t="shared" si="26"/>
        <v>1.9537</v>
      </c>
      <c r="P75" s="29">
        <f t="shared" si="27"/>
        <v>258.28333333333336</v>
      </c>
      <c r="Q75" s="29">
        <f t="shared" si="28"/>
        <v>2.1097138888888884</v>
      </c>
      <c r="S75" s="29">
        <f t="shared" si="29"/>
        <v>38.35</v>
      </c>
    </row>
    <row r="76" spans="2:29">
      <c r="M76" s="1">
        <f t="shared" si="25"/>
        <v>195.03333333333333</v>
      </c>
      <c r="N76" s="1">
        <f t="shared" si="26"/>
        <v>1.8325055555555556</v>
      </c>
      <c r="P76" s="29">
        <f t="shared" si="27"/>
        <v>290.58333333333331</v>
      </c>
      <c r="Q76" s="29">
        <f t="shared" si="28"/>
        <v>2.2484305555555557</v>
      </c>
      <c r="S76" s="29">
        <f t="shared" si="29"/>
        <v>35.883333333333333</v>
      </c>
    </row>
    <row r="77" spans="2:29">
      <c r="M77" s="1">
        <f t="shared" si="25"/>
        <v>171.2</v>
      </c>
      <c r="N77" s="1">
        <f t="shared" si="26"/>
        <v>1.7118666666666666</v>
      </c>
      <c r="P77" s="29">
        <f t="shared" si="27"/>
        <v>341.73333333333335</v>
      </c>
      <c r="Q77" s="29">
        <f t="shared" si="28"/>
        <v>2.440288888888889</v>
      </c>
      <c r="S77" s="29">
        <f t="shared" si="29"/>
        <v>31.95</v>
      </c>
    </row>
    <row r="78" spans="2:29">
      <c r="M78" s="1">
        <f t="shared" si="25"/>
        <v>155.51666666666668</v>
      </c>
      <c r="N78" s="1">
        <f t="shared" si="26"/>
        <v>1.6425861111111111</v>
      </c>
      <c r="P78" s="29">
        <f t="shared" si="27"/>
        <v>404.43333333333334</v>
      </c>
      <c r="Q78" s="29">
        <f t="shared" si="28"/>
        <v>2.6674055555555558</v>
      </c>
      <c r="S78" s="29">
        <f t="shared" si="29"/>
        <v>27.516666666666666</v>
      </c>
    </row>
    <row r="79" spans="2:29">
      <c r="M79" s="1">
        <f t="shared" si="25"/>
        <v>137.06666666666666</v>
      </c>
      <c r="N79" s="1">
        <f t="shared" si="26"/>
        <v>1.5395111111111111</v>
      </c>
      <c r="P79" s="29">
        <f t="shared" si="27"/>
        <v>489.1</v>
      </c>
      <c r="Q79" s="29">
        <f t="shared" si="28"/>
        <v>2.9315166666666665</v>
      </c>
      <c r="S79" s="29">
        <f t="shared" si="29"/>
        <v>23.283333333333335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3"/>
  <sheetViews>
    <sheetView workbookViewId="0"/>
  </sheetViews>
  <sheetFormatPr defaultColWidth="12.6640625" defaultRowHeight="15.75" customHeight="1"/>
  <cols>
    <col min="9" max="9" width="5.21875" customWidth="1"/>
    <col min="10" max="10" width="5.109375" customWidth="1"/>
    <col min="11" max="11" width="6.33203125" customWidth="1"/>
    <col min="12" max="12" width="6.21875" customWidth="1"/>
    <col min="13" max="13" width="7.33203125" customWidth="1"/>
    <col min="14" max="14" width="5.33203125" customWidth="1"/>
    <col min="15" max="15" width="7.77734375" customWidth="1"/>
    <col min="16" max="16" width="7.88671875" customWidth="1"/>
  </cols>
  <sheetData>
    <row r="1" spans="1:16">
      <c r="A1" s="15" t="s">
        <v>73</v>
      </c>
      <c r="B1" s="15" t="s">
        <v>74</v>
      </c>
      <c r="C1" s="15" t="s">
        <v>44</v>
      </c>
      <c r="D1" s="15" t="s">
        <v>75</v>
      </c>
      <c r="E1" s="15" t="s">
        <v>76</v>
      </c>
      <c r="F1" s="30" t="s">
        <v>49</v>
      </c>
      <c r="G1" s="30" t="s">
        <v>44</v>
      </c>
      <c r="I1" s="1" t="s">
        <v>77</v>
      </c>
    </row>
    <row r="2" spans="1:16">
      <c r="A2" s="17"/>
      <c r="B2" s="31"/>
      <c r="C2" s="17"/>
      <c r="D2" s="32">
        <f t="shared" ref="D2:E2" si="0">B2*10^-9</f>
        <v>0</v>
      </c>
      <c r="E2" s="32">
        <f t="shared" si="0"/>
        <v>0</v>
      </c>
      <c r="F2" s="17"/>
      <c r="G2" s="17">
        <f t="shared" ref="G2:G3" si="1">ROUND( SQRT(F2),0)</f>
        <v>0</v>
      </c>
      <c r="I2" s="16" t="s">
        <v>40</v>
      </c>
      <c r="J2" s="16" t="s">
        <v>41</v>
      </c>
      <c r="K2" s="16">
        <v>0.01</v>
      </c>
      <c r="L2" s="16" t="s">
        <v>42</v>
      </c>
      <c r="M2" s="16" t="s">
        <v>43</v>
      </c>
      <c r="N2" s="16" t="s">
        <v>44</v>
      </c>
      <c r="O2" s="16" t="s">
        <v>45</v>
      </c>
      <c r="P2" s="16" t="s">
        <v>46</v>
      </c>
    </row>
    <row r="3" spans="1:16">
      <c r="A3" s="17"/>
      <c r="B3" s="17"/>
      <c r="C3" s="17"/>
      <c r="D3" s="28"/>
      <c r="E3" s="28"/>
      <c r="F3" s="17"/>
      <c r="G3" s="17">
        <f t="shared" si="1"/>
        <v>0</v>
      </c>
      <c r="I3" s="17">
        <v>1</v>
      </c>
      <c r="J3" s="17">
        <v>3</v>
      </c>
      <c r="K3" s="17">
        <v>0.01</v>
      </c>
      <c r="L3" s="18">
        <f>K3*I3*10^J3</f>
        <v>10</v>
      </c>
      <c r="M3" s="17" t="s">
        <v>55</v>
      </c>
      <c r="N3" s="17">
        <v>0.01</v>
      </c>
      <c r="O3" s="18">
        <f>IF(M3="min",L3*60,L3)</f>
        <v>10</v>
      </c>
      <c r="P3" s="18">
        <f>IF(M3="min",N3*60,N3)</f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Calibração X</vt:lpstr>
      <vt:lpstr>comp</vt:lpstr>
      <vt:lpstr>1-Calibração</vt:lpstr>
      <vt:lpstr>1-dep. Angular</vt:lpstr>
      <vt:lpstr>Sheet5</vt:lpstr>
      <vt:lpstr>2-Calibração</vt:lpstr>
      <vt:lpstr>2-dep. Angular</vt:lpstr>
      <vt:lpstr>Dep.Ang outro grupo</vt:lpstr>
      <vt:lpstr>2-Janela</vt:lpstr>
      <vt:lpstr>2-Fortuitas</vt:lpstr>
      <vt:lpstr>2-Eficiência do pico</vt:lpstr>
      <vt:lpstr>3-Calibração</vt:lpstr>
      <vt:lpstr>4-Calibração</vt:lpstr>
      <vt:lpstr>3-fi,r</vt:lpstr>
      <vt:lpstr>Eficiencias</vt:lpstr>
      <vt:lpstr>4</vt:lpstr>
      <vt:lpstr>Arede_Dados_Para_fits</vt:lpstr>
      <vt:lpstr>Outros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Neves Coimbra</cp:lastModifiedBy>
  <dcterms:modified xsi:type="dcterms:W3CDTF">2023-11-02T13:03:05Z</dcterms:modified>
</cp:coreProperties>
</file>