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ocumentos\Uni\Ano_3\Semestre_1\P1\LFEA_II\LFEA_II\Sessao_2\"/>
    </mc:Choice>
  </mc:AlternateContent>
  <xr:revisionPtr revIDLastSave="0" documentId="13_ncr:1_{82FDABB9-58D7-4AF9-A307-9AD609149452}" xr6:coauthVersionLast="47" xr6:coauthVersionMax="47" xr10:uidLastSave="{00000000-0000-0000-0000-000000000000}"/>
  <bookViews>
    <workbookView xWindow="384" yWindow="384" windowWidth="17280" windowHeight="8880" activeTab="2" xr2:uid="{00000000-000D-0000-FFFF-FFFF00000000}"/>
  </bookViews>
  <sheets>
    <sheet name="corr_angular" sheetId="1" r:id="rId1"/>
    <sheet name="eficiencia" sheetId="3" r:id="rId2"/>
    <sheet name="eixo_detetores" sheetId="2" r:id="rId3"/>
    <sheet name="fund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2" i="2"/>
  <c r="Q3" i="2"/>
  <c r="Q4" i="2"/>
  <c r="Q5" i="2"/>
  <c r="Q6" i="2"/>
  <c r="Q7" i="2"/>
  <c r="Q2" i="2"/>
  <c r="P7" i="2"/>
  <c r="O3" i="2"/>
  <c r="O4" i="2"/>
  <c r="O5" i="2"/>
  <c r="O6" i="2"/>
  <c r="O7" i="2"/>
  <c r="P3" i="2"/>
  <c r="P4" i="2"/>
  <c r="P5" i="2"/>
  <c r="P6" i="2"/>
  <c r="P2" i="2"/>
  <c r="O2" i="2"/>
  <c r="N3" i="2"/>
  <c r="N4" i="2"/>
  <c r="N5" i="2"/>
  <c r="N6" i="2"/>
  <c r="N7" i="2"/>
  <c r="N2" i="2"/>
  <c r="M3" i="2"/>
  <c r="M4" i="2"/>
  <c r="M5" i="2"/>
  <c r="M6" i="2"/>
  <c r="M7" i="2"/>
  <c r="M2" i="2"/>
  <c r="L3" i="2"/>
  <c r="L4" i="2"/>
  <c r="L5" i="2"/>
  <c r="L6" i="2"/>
  <c r="L7" i="2"/>
  <c r="L2" i="2"/>
  <c r="K3" i="2"/>
  <c r="K4" i="2"/>
  <c r="K5" i="2"/>
  <c r="K6" i="2"/>
  <c r="K7" i="2"/>
  <c r="K2" i="2"/>
  <c r="J3" i="2"/>
  <c r="J4" i="2"/>
  <c r="J5" i="2"/>
  <c r="J6" i="2"/>
  <c r="J7" i="2"/>
  <c r="J2" i="2"/>
  <c r="I3" i="2"/>
  <c r="I4" i="2"/>
  <c r="I5" i="2"/>
  <c r="I6" i="2"/>
  <c r="I7" i="2"/>
  <c r="I2" i="2"/>
  <c r="H3" i="2"/>
  <c r="H4" i="2"/>
  <c r="H5" i="2"/>
  <c r="H6" i="2"/>
  <c r="H7" i="2"/>
  <c r="H2" i="2"/>
  <c r="G3" i="2"/>
  <c r="G4" i="2"/>
  <c r="G5" i="2"/>
  <c r="G6" i="2"/>
  <c r="G7" i="2"/>
  <c r="G2" i="2"/>
  <c r="C2" i="2"/>
  <c r="G3" i="4"/>
  <c r="G4" i="4"/>
  <c r="E4" i="4"/>
  <c r="F4" i="4"/>
  <c r="D4" i="4"/>
  <c r="E2" i="4"/>
  <c r="G2" i="4"/>
  <c r="F3" i="4"/>
  <c r="F2" i="4"/>
  <c r="E3" i="4"/>
  <c r="D3" i="4"/>
  <c r="D2" i="4"/>
  <c r="R2" i="3"/>
  <c r="Q2" i="3"/>
  <c r="P2" i="3"/>
  <c r="O2" i="3"/>
  <c r="N2" i="3"/>
  <c r="M2" i="3"/>
  <c r="L2" i="3"/>
  <c r="K2" i="3"/>
  <c r="I2" i="3"/>
  <c r="H3" i="3"/>
  <c r="H2" i="3"/>
  <c r="G3" i="3"/>
  <c r="G2" i="3"/>
  <c r="F3" i="3"/>
  <c r="F2" i="3"/>
  <c r="E3" i="3"/>
  <c r="E2" i="3"/>
  <c r="D3" i="3"/>
  <c r="D2" i="3"/>
  <c r="C3" i="3"/>
  <c r="C2" i="3"/>
  <c r="B3" i="3"/>
  <c r="B2" i="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C3" i="2"/>
  <c r="C4" i="2"/>
  <c r="C5" i="2"/>
  <c r="C6" i="2"/>
  <c r="C7" i="2"/>
</calcChain>
</file>

<file path=xl/sharedStrings.xml><?xml version="1.0" encoding="utf-8"?>
<sst xmlns="http://schemas.openxmlformats.org/spreadsheetml/2006/main" count="54" uniqueCount="40">
  <si>
    <t>theta</t>
  </si>
  <si>
    <t>Rc</t>
  </si>
  <si>
    <t>t (s)</t>
  </si>
  <si>
    <t>Ca</t>
  </si>
  <si>
    <t>Cb</t>
  </si>
  <si>
    <t>Cc</t>
  </si>
  <si>
    <t>eRc</t>
  </si>
  <si>
    <t>Rc corr</t>
  </si>
  <si>
    <t>eRc corr</t>
  </si>
  <si>
    <t>y [0.5in]</t>
  </si>
  <si>
    <t>y [cm]</t>
  </si>
  <si>
    <t>t [s]</t>
  </si>
  <si>
    <t>Ra</t>
  </si>
  <si>
    <t>eRa</t>
  </si>
  <si>
    <t>Rb</t>
  </si>
  <si>
    <t>eRb</t>
  </si>
  <si>
    <t>Ra corr</t>
  </si>
  <si>
    <t>eRa corr</t>
  </si>
  <si>
    <t>Rb corr</t>
  </si>
  <si>
    <t>eRb corr</t>
  </si>
  <si>
    <t>Fonte</t>
  </si>
  <si>
    <t>T1/2 [s]</t>
  </si>
  <si>
    <t>eT1/2 [s]</t>
  </si>
  <si>
    <t>Atividade 0 [per s]</t>
  </si>
  <si>
    <t>et [s]</t>
  </si>
  <si>
    <t>eA atual [per s]</t>
  </si>
  <si>
    <t>A atual [per s]</t>
  </si>
  <si>
    <t>Area Superfície esférica [m2]</t>
  </si>
  <si>
    <t>e Area Superfície esférica [m2]</t>
  </si>
  <si>
    <t>!!!!!</t>
  </si>
  <si>
    <t>Area do detetor [m2]</t>
  </si>
  <si>
    <t>e Area do detetor [m2]</t>
  </si>
  <si>
    <t>Fração das Areas</t>
  </si>
  <si>
    <t>e Fração das Areas</t>
  </si>
  <si>
    <t>Recebido teórico [per s]</t>
  </si>
  <si>
    <t>e Recebido teórico [per s]</t>
  </si>
  <si>
    <t>efi geometrica [%]</t>
  </si>
  <si>
    <t>e efi geometrica [%]</t>
  </si>
  <si>
    <t>Recebido exp [per s]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</si>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</sst>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selection activeCell="J12" sqref="J12"/>
    </sheetView>
  </sheetViews>
  <sheetFormatPr defaultRowHeight="14.4" x14ac:dyDescent="0.3"/>
  <cols>
    <col min="1" max="1" width="11.5546875" customWidth="1"/>
    <col min="2" max="2" width="12.109375" customWidth="1"/>
    <col min="3" max="3" width="12.6640625" customWidth="1"/>
    <col min="4" max="4" width="12.21875" customWidth="1"/>
    <col min="5" max="5" width="12.77734375" customWidth="1"/>
    <col min="6" max="6" width="11.77734375" customWidth="1"/>
    <col min="7" max="7" width="12" customWidth="1"/>
    <col min="8" max="8" width="12.109375" customWidth="1"/>
    <col min="9" max="9" width="12" customWidth="1"/>
    <col min="10" max="10" width="11" customWidth="1"/>
  </cols>
  <sheetData>
    <row r="1" spans="1:9" x14ac:dyDescent="0.3">
      <c r="A1" s="2" t="s">
        <v>2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1</v>
      </c>
      <c r="G1" s="2" t="s">
        <v>6</v>
      </c>
      <c r="H1" s="2" t="s">
        <v>7</v>
      </c>
      <c r="I1" s="2" t="s">
        <v>8</v>
      </c>
    </row>
    <row r="2" spans="1:9" x14ac:dyDescent="0.3">
      <c r="A2" s="2">
        <v>20</v>
      </c>
      <c r="B2" s="2">
        <v>0</v>
      </c>
      <c r="C2" s="2">
        <v>6598</v>
      </c>
      <c r="D2" s="2">
        <v>6389</v>
      </c>
      <c r="E2" s="2">
        <v>1997</v>
      </c>
      <c r="F2" s="3">
        <f>E2/A2</f>
        <v>99.85</v>
      </c>
      <c r="G2" s="3">
        <f>SQRT(E2)/A2</f>
        <v>2.234390297150433</v>
      </c>
      <c r="H2" s="3">
        <f>F2-0.1689</f>
        <v>99.681100000000001</v>
      </c>
      <c r="I2" s="3">
        <f>SQRT(G2*G2+0.0447*0.0447)</f>
        <v>2.234837374396625</v>
      </c>
    </row>
    <row r="3" spans="1:9" x14ac:dyDescent="0.3">
      <c r="A3" s="2">
        <v>20</v>
      </c>
      <c r="B3" s="2">
        <v>1</v>
      </c>
      <c r="C3" s="2">
        <v>6563</v>
      </c>
      <c r="D3" s="2">
        <v>6305</v>
      </c>
      <c r="E3" s="2">
        <v>1995</v>
      </c>
      <c r="F3" s="3">
        <f t="shared" ref="F3:F28" si="0">E3/A3</f>
        <v>99.75</v>
      </c>
      <c r="G3" s="3">
        <f t="shared" ref="G3:G28" si="1">SQRT(E3)/A3</f>
        <v>2.2332711434127295</v>
      </c>
      <c r="H3" s="3">
        <f t="shared" ref="H3:H28" si="2">F3-0.1689</f>
        <v>99.581100000000006</v>
      </c>
      <c r="I3" s="3">
        <f t="shared" ref="I3:I28" si="3">SQRT(G3*G3+0.0447*0.0447)</f>
        <v>2.2337184446568012</v>
      </c>
    </row>
    <row r="4" spans="1:9" x14ac:dyDescent="0.3">
      <c r="A4" s="2">
        <v>20</v>
      </c>
      <c r="B4" s="2">
        <v>2</v>
      </c>
      <c r="C4" s="2">
        <v>6640</v>
      </c>
      <c r="D4" s="2">
        <v>6366</v>
      </c>
      <c r="E4" s="2">
        <v>1946</v>
      </c>
      <c r="F4" s="3">
        <f t="shared" si="0"/>
        <v>97.3</v>
      </c>
      <c r="G4" s="3">
        <f t="shared" si="1"/>
        <v>2.2056745000112778</v>
      </c>
      <c r="H4" s="3">
        <f t="shared" si="2"/>
        <v>97.131100000000004</v>
      </c>
      <c r="I4" s="3">
        <f t="shared" si="3"/>
        <v>2.2061273965934061</v>
      </c>
    </row>
    <row r="5" spans="1:9" x14ac:dyDescent="0.3">
      <c r="A5" s="2">
        <v>20</v>
      </c>
      <c r="B5" s="2">
        <v>3</v>
      </c>
      <c r="C5" s="2">
        <v>6633</v>
      </c>
      <c r="D5" s="2">
        <v>6499</v>
      </c>
      <c r="E5" s="2">
        <v>1892</v>
      </c>
      <c r="F5" s="3">
        <f t="shared" si="0"/>
        <v>94.6</v>
      </c>
      <c r="G5" s="3">
        <f t="shared" si="1"/>
        <v>2.1748563170931545</v>
      </c>
      <c r="H5" s="3">
        <f t="shared" si="2"/>
        <v>94.431100000000001</v>
      </c>
      <c r="I5" s="3">
        <f t="shared" si="3"/>
        <v>2.1753156299718897</v>
      </c>
    </row>
    <row r="6" spans="1:9" x14ac:dyDescent="0.3">
      <c r="A6" s="2">
        <v>20</v>
      </c>
      <c r="B6" s="2">
        <v>4</v>
      </c>
      <c r="C6" s="2">
        <v>6526</v>
      </c>
      <c r="D6" s="2">
        <v>6265</v>
      </c>
      <c r="E6" s="2">
        <v>1643</v>
      </c>
      <c r="F6" s="3">
        <f t="shared" si="0"/>
        <v>82.15</v>
      </c>
      <c r="G6" s="3">
        <f t="shared" si="1"/>
        <v>2.0266968199511242</v>
      </c>
      <c r="H6" s="3">
        <f t="shared" si="2"/>
        <v>81.981100000000012</v>
      </c>
      <c r="I6" s="3">
        <f t="shared" si="3"/>
        <v>2.0271897025192285</v>
      </c>
    </row>
    <row r="7" spans="1:9" x14ac:dyDescent="0.3">
      <c r="A7" s="2">
        <v>20</v>
      </c>
      <c r="B7" s="2">
        <v>5</v>
      </c>
      <c r="C7" s="2">
        <v>6569</v>
      </c>
      <c r="D7" s="2">
        <v>6429</v>
      </c>
      <c r="E7" s="2">
        <v>1435</v>
      </c>
      <c r="F7" s="3">
        <f t="shared" si="0"/>
        <v>71.75</v>
      </c>
      <c r="G7" s="3">
        <f t="shared" si="1"/>
        <v>1.8940696924875813</v>
      </c>
      <c r="H7" s="3">
        <f t="shared" si="2"/>
        <v>71.581100000000006</v>
      </c>
      <c r="I7" s="3">
        <f t="shared" si="3"/>
        <v>1.8945970785367534</v>
      </c>
    </row>
    <row r="8" spans="1:9" x14ac:dyDescent="0.3">
      <c r="A8" s="2">
        <v>20</v>
      </c>
      <c r="B8" s="2">
        <v>6</v>
      </c>
      <c r="C8" s="2">
        <v>6663</v>
      </c>
      <c r="D8" s="2">
        <v>6325</v>
      </c>
      <c r="E8" s="2">
        <v>1256</v>
      </c>
      <c r="F8" s="3">
        <f t="shared" si="0"/>
        <v>62.8</v>
      </c>
      <c r="G8" s="3">
        <f t="shared" si="1"/>
        <v>1.772004514666935</v>
      </c>
      <c r="H8" s="3">
        <f t="shared" si="2"/>
        <v>62.631099999999996</v>
      </c>
      <c r="I8" s="3">
        <f t="shared" si="3"/>
        <v>1.7725682187154319</v>
      </c>
    </row>
    <row r="9" spans="1:9" x14ac:dyDescent="0.3">
      <c r="A9" s="2">
        <v>20</v>
      </c>
      <c r="B9" s="2">
        <v>7</v>
      </c>
      <c r="C9" s="2">
        <v>6426</v>
      </c>
      <c r="D9" s="2">
        <v>6355</v>
      </c>
      <c r="E9" s="2">
        <v>1085</v>
      </c>
      <c r="F9" s="3">
        <f t="shared" si="0"/>
        <v>54.25</v>
      </c>
      <c r="G9" s="3">
        <f t="shared" si="1"/>
        <v>1.6469669092000605</v>
      </c>
      <c r="H9" s="3">
        <f t="shared" si="2"/>
        <v>54.081099999999999</v>
      </c>
      <c r="I9" s="3">
        <f t="shared" si="3"/>
        <v>1.6475733944198057</v>
      </c>
    </row>
    <row r="10" spans="1:9" x14ac:dyDescent="0.3">
      <c r="A10" s="2">
        <v>20</v>
      </c>
      <c r="B10" s="2">
        <v>8</v>
      </c>
      <c r="C10" s="2">
        <v>6583</v>
      </c>
      <c r="D10" s="2">
        <v>6547</v>
      </c>
      <c r="E10" s="2">
        <v>965</v>
      </c>
      <c r="F10" s="3">
        <f t="shared" si="0"/>
        <v>48.25</v>
      </c>
      <c r="G10" s="3">
        <f t="shared" si="1"/>
        <v>1.5532224567009068</v>
      </c>
      <c r="H10" s="3">
        <f t="shared" si="2"/>
        <v>48.081099999999999</v>
      </c>
      <c r="I10" s="3">
        <f t="shared" si="3"/>
        <v>1.5538655315052201</v>
      </c>
    </row>
    <row r="11" spans="1:9" x14ac:dyDescent="0.3">
      <c r="A11" s="2">
        <v>20</v>
      </c>
      <c r="B11" s="2">
        <v>9</v>
      </c>
      <c r="C11" s="2">
        <v>6390</v>
      </c>
      <c r="D11" s="2">
        <v>6371</v>
      </c>
      <c r="E11" s="2">
        <v>752</v>
      </c>
      <c r="F11" s="3">
        <f t="shared" si="0"/>
        <v>37.6</v>
      </c>
      <c r="G11" s="3">
        <f t="shared" si="1"/>
        <v>1.3711309200802089</v>
      </c>
      <c r="H11" s="3">
        <f t="shared" si="2"/>
        <v>37.431100000000001</v>
      </c>
      <c r="I11" s="3">
        <f t="shared" si="3"/>
        <v>1.3718593550360767</v>
      </c>
    </row>
    <row r="12" spans="1:9" x14ac:dyDescent="0.3">
      <c r="A12" s="2">
        <v>20</v>
      </c>
      <c r="B12" s="2">
        <v>10</v>
      </c>
      <c r="C12" s="2">
        <v>6670</v>
      </c>
      <c r="D12" s="2">
        <v>6501</v>
      </c>
      <c r="E12" s="2">
        <v>669</v>
      </c>
      <c r="F12" s="3">
        <f t="shared" si="0"/>
        <v>33.450000000000003</v>
      </c>
      <c r="G12" s="3">
        <f t="shared" si="1"/>
        <v>1.2932517156377563</v>
      </c>
      <c r="H12" s="3">
        <f t="shared" si="2"/>
        <v>33.281100000000002</v>
      </c>
      <c r="I12" s="3">
        <f t="shared" si="3"/>
        <v>1.2940239912768234</v>
      </c>
    </row>
    <row r="13" spans="1:9" x14ac:dyDescent="0.3">
      <c r="A13" s="2">
        <v>60</v>
      </c>
      <c r="B13" s="2">
        <v>12</v>
      </c>
      <c r="C13" s="2">
        <v>19896</v>
      </c>
      <c r="D13" s="2">
        <v>19505</v>
      </c>
      <c r="E13" s="2">
        <v>1009</v>
      </c>
      <c r="F13" s="3">
        <f t="shared" si="0"/>
        <v>16.816666666666666</v>
      </c>
      <c r="G13" s="3">
        <f t="shared" si="1"/>
        <v>0.52941267247561963</v>
      </c>
      <c r="H13" s="3">
        <f t="shared" si="2"/>
        <v>16.647766666666666</v>
      </c>
      <c r="I13" s="3">
        <f t="shared" si="3"/>
        <v>0.53129640294074798</v>
      </c>
    </row>
    <row r="14" spans="1:9" x14ac:dyDescent="0.3">
      <c r="A14" s="2">
        <v>90</v>
      </c>
      <c r="B14" s="2">
        <v>15</v>
      </c>
      <c r="C14" s="2">
        <v>29471</v>
      </c>
      <c r="D14" s="2">
        <v>28410</v>
      </c>
      <c r="E14" s="2">
        <v>335</v>
      </c>
      <c r="F14" s="3">
        <f t="shared" si="0"/>
        <v>3.7222222222222223</v>
      </c>
      <c r="G14" s="3">
        <f t="shared" si="1"/>
        <v>0.20336672464136807</v>
      </c>
      <c r="H14" s="3">
        <f t="shared" si="2"/>
        <v>3.5533222222222225</v>
      </c>
      <c r="I14" s="3">
        <f t="shared" si="3"/>
        <v>0.2082213118087532</v>
      </c>
    </row>
    <row r="15" spans="1:9" x14ac:dyDescent="0.3">
      <c r="A15" s="2">
        <v>120</v>
      </c>
      <c r="B15" s="2">
        <v>20</v>
      </c>
      <c r="C15" s="2">
        <v>39601</v>
      </c>
      <c r="D15" s="2">
        <v>38356</v>
      </c>
      <c r="E15" s="2">
        <v>71</v>
      </c>
      <c r="F15" s="3">
        <f t="shared" si="0"/>
        <v>0.59166666666666667</v>
      </c>
      <c r="G15" s="3">
        <f t="shared" si="1"/>
        <v>7.0217914776469659E-2</v>
      </c>
      <c r="H15" s="3">
        <f t="shared" si="2"/>
        <v>0.42276666666666668</v>
      </c>
      <c r="I15" s="3">
        <f t="shared" si="3"/>
        <v>8.3238486023927388E-2</v>
      </c>
    </row>
    <row r="16" spans="1:9" x14ac:dyDescent="0.3">
      <c r="A16" s="2">
        <v>20</v>
      </c>
      <c r="B16" s="2">
        <v>-1</v>
      </c>
      <c r="C16" s="2">
        <v>6727</v>
      </c>
      <c r="D16" s="2">
        <v>6286</v>
      </c>
      <c r="E16" s="2">
        <v>1978</v>
      </c>
      <c r="F16" s="3">
        <f t="shared" si="0"/>
        <v>98.9</v>
      </c>
      <c r="G16" s="3">
        <f t="shared" si="1"/>
        <v>2.2237355957937086</v>
      </c>
      <c r="H16" s="3">
        <f t="shared" si="2"/>
        <v>98.731100000000012</v>
      </c>
      <c r="I16" s="3">
        <f t="shared" si="3"/>
        <v>2.2241848147130221</v>
      </c>
    </row>
    <row r="17" spans="1:9" x14ac:dyDescent="0.3">
      <c r="A17" s="2">
        <v>20</v>
      </c>
      <c r="B17" s="2">
        <v>-2</v>
      </c>
      <c r="C17" s="2">
        <v>6617</v>
      </c>
      <c r="D17" s="2">
        <v>6361</v>
      </c>
      <c r="E17" s="2">
        <v>1778</v>
      </c>
      <c r="F17" s="3">
        <f t="shared" si="0"/>
        <v>88.9</v>
      </c>
      <c r="G17" s="3">
        <f t="shared" si="1"/>
        <v>2.1083168642308014</v>
      </c>
      <c r="H17" s="3">
        <f t="shared" si="2"/>
        <v>88.731100000000012</v>
      </c>
      <c r="I17" s="3">
        <f t="shared" si="3"/>
        <v>2.1087906700286778</v>
      </c>
    </row>
    <row r="18" spans="1:9" x14ac:dyDescent="0.3">
      <c r="A18" s="2">
        <v>20</v>
      </c>
      <c r="B18" s="2">
        <v>-3</v>
      </c>
      <c r="C18" s="2">
        <v>6525</v>
      </c>
      <c r="D18" s="2">
        <v>6383</v>
      </c>
      <c r="E18" s="2">
        <v>1671</v>
      </c>
      <c r="F18" s="3">
        <f t="shared" si="0"/>
        <v>83.55</v>
      </c>
      <c r="G18" s="3">
        <f t="shared" si="1"/>
        <v>2.0438933435969693</v>
      </c>
      <c r="H18" s="3">
        <f t="shared" si="2"/>
        <v>83.381100000000004</v>
      </c>
      <c r="I18" s="3">
        <f t="shared" si="3"/>
        <v>2.0443820802384272</v>
      </c>
    </row>
    <row r="19" spans="1:9" x14ac:dyDescent="0.3">
      <c r="A19" s="2">
        <v>20</v>
      </c>
      <c r="B19" s="2">
        <v>-4</v>
      </c>
      <c r="C19" s="2">
        <v>6663</v>
      </c>
      <c r="D19" s="2">
        <v>6490</v>
      </c>
      <c r="E19" s="2">
        <v>1495</v>
      </c>
      <c r="F19" s="3">
        <f t="shared" si="0"/>
        <v>74.75</v>
      </c>
      <c r="G19" s="3">
        <f t="shared" si="1"/>
        <v>1.9332614929181204</v>
      </c>
      <c r="H19" s="3">
        <f t="shared" si="2"/>
        <v>74.581100000000006</v>
      </c>
      <c r="I19" s="3">
        <f t="shared" si="3"/>
        <v>1.9337781904861786</v>
      </c>
    </row>
    <row r="20" spans="1:9" x14ac:dyDescent="0.3">
      <c r="A20" s="2">
        <v>20</v>
      </c>
      <c r="B20" s="2">
        <v>-5</v>
      </c>
      <c r="C20" s="2">
        <v>6655</v>
      </c>
      <c r="D20" s="2">
        <v>6445</v>
      </c>
      <c r="E20" s="2">
        <v>1353</v>
      </c>
      <c r="F20" s="3">
        <f t="shared" si="0"/>
        <v>67.650000000000006</v>
      </c>
      <c r="G20" s="3">
        <f t="shared" si="1"/>
        <v>1.839157415774952</v>
      </c>
      <c r="H20" s="3">
        <f t="shared" si="2"/>
        <v>67.481100000000012</v>
      </c>
      <c r="I20" s="3">
        <f t="shared" si="3"/>
        <v>1.8397005435668055</v>
      </c>
    </row>
    <row r="21" spans="1:9" x14ac:dyDescent="0.3">
      <c r="A21" s="2">
        <v>20</v>
      </c>
      <c r="B21" s="2">
        <v>-6</v>
      </c>
      <c r="C21" s="2">
        <v>6717</v>
      </c>
      <c r="D21" s="2">
        <v>6468</v>
      </c>
      <c r="E21" s="2">
        <v>1144</v>
      </c>
      <c r="F21" s="3">
        <f t="shared" si="0"/>
        <v>57.2</v>
      </c>
      <c r="G21" s="3">
        <f t="shared" si="1"/>
        <v>1.6911534525287764</v>
      </c>
      <c r="H21" s="3">
        <f t="shared" si="2"/>
        <v>57.031100000000002</v>
      </c>
      <c r="I21" s="3">
        <f t="shared" si="3"/>
        <v>1.6917440970785151</v>
      </c>
    </row>
    <row r="22" spans="1:9" x14ac:dyDescent="0.3">
      <c r="A22" s="2">
        <v>20</v>
      </c>
      <c r="B22" s="2">
        <v>-7</v>
      </c>
      <c r="C22" s="2">
        <v>6708</v>
      </c>
      <c r="D22" s="2">
        <v>6414</v>
      </c>
      <c r="E22" s="2">
        <v>968</v>
      </c>
      <c r="F22" s="3">
        <f t="shared" si="0"/>
        <v>48.4</v>
      </c>
      <c r="G22" s="3">
        <f t="shared" si="1"/>
        <v>1.5556349186104046</v>
      </c>
      <c r="H22" s="3">
        <f t="shared" si="2"/>
        <v>48.231099999999998</v>
      </c>
      <c r="I22" s="3">
        <f t="shared" si="3"/>
        <v>1.5562769965529915</v>
      </c>
    </row>
    <row r="23" spans="1:9" x14ac:dyDescent="0.3">
      <c r="A23" s="2">
        <v>20</v>
      </c>
      <c r="B23" s="2">
        <v>-8</v>
      </c>
      <c r="C23" s="2">
        <v>6633</v>
      </c>
      <c r="D23" s="2">
        <v>6348</v>
      </c>
      <c r="E23" s="2">
        <v>773</v>
      </c>
      <c r="F23" s="3">
        <f t="shared" si="0"/>
        <v>38.65</v>
      </c>
      <c r="G23" s="3">
        <f t="shared" si="1"/>
        <v>1.3901438774457844</v>
      </c>
      <c r="H23" s="3">
        <f t="shared" si="2"/>
        <v>38.481099999999998</v>
      </c>
      <c r="I23" s="3">
        <f t="shared" si="3"/>
        <v>1.3908623548000716</v>
      </c>
    </row>
    <row r="24" spans="1:9" x14ac:dyDescent="0.3">
      <c r="A24" s="2">
        <v>20</v>
      </c>
      <c r="B24" s="2">
        <v>-9</v>
      </c>
      <c r="C24" s="2">
        <v>6655</v>
      </c>
      <c r="D24" s="2">
        <v>6316</v>
      </c>
      <c r="E24" s="2">
        <v>625</v>
      </c>
      <c r="F24" s="3">
        <f t="shared" si="0"/>
        <v>31.25</v>
      </c>
      <c r="G24" s="3">
        <f t="shared" si="1"/>
        <v>1.25</v>
      </c>
      <c r="H24" s="3">
        <f t="shared" si="2"/>
        <v>31.081099999999999</v>
      </c>
      <c r="I24" s="3">
        <f t="shared" si="3"/>
        <v>1.250798980651967</v>
      </c>
    </row>
    <row r="25" spans="1:9" x14ac:dyDescent="0.3">
      <c r="A25" s="2">
        <v>20</v>
      </c>
      <c r="B25" s="2">
        <v>-10</v>
      </c>
      <c r="C25" s="2">
        <v>6768</v>
      </c>
      <c r="D25" s="2">
        <v>6370</v>
      </c>
      <c r="E25" s="2">
        <v>498</v>
      </c>
      <c r="F25" s="3">
        <f t="shared" si="0"/>
        <v>24.9</v>
      </c>
      <c r="G25" s="3">
        <f t="shared" si="1"/>
        <v>1.1157956802210698</v>
      </c>
      <c r="H25" s="3">
        <f t="shared" si="2"/>
        <v>24.731099999999998</v>
      </c>
      <c r="I25" s="3">
        <f t="shared" si="3"/>
        <v>1.1166906868063331</v>
      </c>
    </row>
    <row r="26" spans="1:9" x14ac:dyDescent="0.3">
      <c r="A26" s="2">
        <v>60</v>
      </c>
      <c r="B26" s="2">
        <v>-12</v>
      </c>
      <c r="C26" s="2">
        <v>19720</v>
      </c>
      <c r="D26" s="2">
        <v>19249</v>
      </c>
      <c r="E26" s="2">
        <v>680</v>
      </c>
      <c r="F26" s="3">
        <f t="shared" si="0"/>
        <v>11.333333333333334</v>
      </c>
      <c r="G26" s="3">
        <f t="shared" si="1"/>
        <v>0.4346134936801766</v>
      </c>
      <c r="H26" s="3">
        <f t="shared" si="2"/>
        <v>11.164433333333333</v>
      </c>
      <c r="I26" s="3">
        <f t="shared" si="3"/>
        <v>0.43690614425627949</v>
      </c>
    </row>
    <row r="27" spans="1:9" x14ac:dyDescent="0.3">
      <c r="A27" s="2">
        <v>90</v>
      </c>
      <c r="B27" s="2">
        <v>-15</v>
      </c>
      <c r="C27" s="2">
        <v>29892</v>
      </c>
      <c r="D27" s="2">
        <v>28454</v>
      </c>
      <c r="E27" s="2">
        <v>147</v>
      </c>
      <c r="F27" s="3">
        <f t="shared" si="0"/>
        <v>1.6333333333333333</v>
      </c>
      <c r="G27" s="3">
        <f t="shared" si="1"/>
        <v>0.13471506281091267</v>
      </c>
      <c r="H27" s="3">
        <f t="shared" si="2"/>
        <v>1.4644333333333333</v>
      </c>
      <c r="I27" s="3">
        <f t="shared" si="3"/>
        <v>0.14193744448928247</v>
      </c>
    </row>
    <row r="28" spans="1:9" x14ac:dyDescent="0.3">
      <c r="A28" s="2">
        <v>120</v>
      </c>
      <c r="B28" s="2">
        <v>-20</v>
      </c>
      <c r="C28" s="2">
        <v>39852</v>
      </c>
      <c r="D28" s="2">
        <v>38500</v>
      </c>
      <c r="E28" s="2">
        <v>60</v>
      </c>
      <c r="F28" s="3">
        <f t="shared" si="0"/>
        <v>0.5</v>
      </c>
      <c r="G28" s="3">
        <f t="shared" si="1"/>
        <v>6.4549722436790288E-2</v>
      </c>
      <c r="H28" s="3">
        <f t="shared" si="2"/>
        <v>0.33110000000000001</v>
      </c>
      <c r="I28" s="3">
        <f t="shared" si="3"/>
        <v>7.8515964406397423E-2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DECD-21B4-4530-B2BB-2D6CD957726C}">
  <dimension ref="A1:S29"/>
  <sheetViews>
    <sheetView topLeftCell="L1" workbookViewId="0">
      <selection activeCell="S2" sqref="S2"/>
    </sheetView>
  </sheetViews>
  <sheetFormatPr defaultRowHeight="14.4" x14ac:dyDescent="0.3"/>
  <cols>
    <col min="1" max="1" width="15.6640625" customWidth="1"/>
    <col min="2" max="2" width="18" customWidth="1"/>
    <col min="3" max="3" width="14.21875" customWidth="1"/>
    <col min="4" max="4" width="12.44140625" customWidth="1"/>
    <col min="5" max="5" width="10" bestFit="1" customWidth="1"/>
    <col min="7" max="7" width="24.6640625" customWidth="1"/>
    <col min="8" max="8" width="17.77734375" customWidth="1"/>
    <col min="9" max="9" width="26.21875" customWidth="1"/>
    <col min="10" max="10" width="27.6640625" customWidth="1"/>
    <col min="11" max="11" width="19.88671875" customWidth="1"/>
    <col min="12" max="12" width="25" customWidth="1"/>
    <col min="13" max="13" width="20.109375" customWidth="1"/>
    <col min="14" max="14" width="20.33203125" customWidth="1"/>
    <col min="15" max="15" width="22.109375" customWidth="1"/>
    <col min="16" max="16" width="24.88671875" customWidth="1"/>
    <col min="17" max="17" width="19.33203125" customWidth="1"/>
    <col min="18" max="18" width="22.5546875" customWidth="1"/>
    <col min="19" max="19" width="23.44140625" customWidth="1"/>
  </cols>
  <sheetData>
    <row r="1" spans="1:19" ht="21" customHeight="1" x14ac:dyDescent="0.3">
      <c r="A1" s="2" t="s">
        <v>20</v>
      </c>
      <c r="B1" s="2" t="s">
        <v>23</v>
      </c>
      <c r="C1" s="2" t="s">
        <v>21</v>
      </c>
      <c r="D1" s="2" t="s">
        <v>22</v>
      </c>
      <c r="E1" s="2" t="s">
        <v>11</v>
      </c>
      <c r="F1" s="2" t="s">
        <v>24</v>
      </c>
      <c r="G1" s="2" t="s">
        <v>26</v>
      </c>
      <c r="H1" s="2" t="s">
        <v>25</v>
      </c>
      <c r="I1" s="2" t="s">
        <v>27</v>
      </c>
      <c r="J1" s="2" t="s">
        <v>28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S1" s="2" t="s">
        <v>38</v>
      </c>
    </row>
    <row r="2" spans="1:19" ht="24.6" customHeight="1" x14ac:dyDescent="0.3">
      <c r="A2" s="2">
        <v>10</v>
      </c>
      <c r="B2" s="2">
        <f>0.00001*37000000000</f>
        <v>370000.00000000006</v>
      </c>
      <c r="C2" s="2">
        <f>2.6018*365*24*60*60</f>
        <v>82050364.799999997</v>
      </c>
      <c r="D2" s="2">
        <f>0.0022*365*24*60*60</f>
        <v>69379.200000000012</v>
      </c>
      <c r="E2" s="2">
        <f>7*365*24*60*60</f>
        <v>220752000</v>
      </c>
      <c r="F2" s="2">
        <f>1/12*365*60*24*60</f>
        <v>2627999.9999999995</v>
      </c>
      <c r="G2" s="3">
        <f>B2*0.5^(E2/C2)</f>
        <v>57318.795344642342</v>
      </c>
      <c r="H2" s="3">
        <f>LN(2)*SQRT(0.5^(2*E2/C2)*B2^2*(F2^2*C2^2+D2^2*E2^2)/C2^4)</f>
        <v>1275.7339141719901</v>
      </c>
      <c r="I2" s="2">
        <f>4*PI()*0.158</f>
        <v>1.9854865570687492</v>
      </c>
      <c r="J2" s="2" t="s">
        <v>29</v>
      </c>
      <c r="K2" s="2">
        <f>PI()*(0.0565*0.5)^2</f>
        <v>2.5071872871055044E-3</v>
      </c>
      <c r="L2" s="2">
        <f>2*PI()*0.0565*0.5*0.0002</f>
        <v>3.5499996985564662E-5</v>
      </c>
      <c r="M2" s="2">
        <f>K2/I2</f>
        <v>1.2627571202531646E-3</v>
      </c>
      <c r="N2" s="2" t="e">
        <f>SQRT((L2^2*I2^2+J2^2*K2^2)/I2^4)</f>
        <v>#VALUE!</v>
      </c>
      <c r="O2" s="2">
        <f>(G2+G3)*M2</f>
        <v>108.56957541867159</v>
      </c>
      <c r="P2" s="2" t="e">
        <f>SQRT(H2^2*M2^2+H3^2*M2^2+N2^2*(G2+G3)^2)</f>
        <v>#VALUE!</v>
      </c>
      <c r="Q2" s="2">
        <f>O2/(G2+G3)*100</f>
        <v>0.12627571202531646</v>
      </c>
      <c r="R2" s="2" t="e">
        <f>SQRT((P2^2*(G2+G3)^2+(H2+H3)^2*O2^2)/(G2+G3)^4)</f>
        <v>#VALUE!</v>
      </c>
    </row>
    <row r="3" spans="1:19" ht="25.8" customHeight="1" x14ac:dyDescent="0.3">
      <c r="A3" s="2">
        <v>5</v>
      </c>
      <c r="B3" s="2">
        <f>0.000005*37000000000</f>
        <v>185000.00000000003</v>
      </c>
      <c r="C3" s="2">
        <f>2.6018*365*24*60*60</f>
        <v>82050364.799999997</v>
      </c>
      <c r="D3" s="2">
        <f>0.0022*365*24*60*60</f>
        <v>69379.200000000012</v>
      </c>
      <c r="E3" s="2">
        <f>7*365*24*60*60</f>
        <v>220752000</v>
      </c>
      <c r="F3" s="2">
        <f>1/12*365*60*24*60</f>
        <v>2627999.9999999995</v>
      </c>
      <c r="G3" s="3">
        <f>B3*0.5^(E3/C3)</f>
        <v>28659.397672321171</v>
      </c>
      <c r="H3" s="3">
        <f>LN(2)*SQRT(0.5^(2*E3/C3)*B3^2*(F3^2*C3^2+D3^2*E3^2)/C3^4)</f>
        <v>637.86695708599507</v>
      </c>
      <c r="I3" s="2"/>
      <c r="J3" s="2"/>
      <c r="K3" s="2"/>
      <c r="L3" s="2"/>
      <c r="M3" s="2"/>
      <c r="N3" s="2"/>
      <c r="O3" s="2"/>
      <c r="P3" s="2"/>
      <c r="Q3" s="2"/>
      <c r="R3" s="2"/>
    </row>
    <row r="4" spans="1:19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9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9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9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9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9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9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9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9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9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9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9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9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AA52-F8C7-4F65-B83C-0C8E7494ECC7}">
  <dimension ref="A1:R7"/>
  <sheetViews>
    <sheetView tabSelected="1" topLeftCell="G1" workbookViewId="0">
      <selection activeCell="I1" sqref="I1"/>
    </sheetView>
  </sheetViews>
  <sheetFormatPr defaultRowHeight="14.4" x14ac:dyDescent="0.3"/>
  <cols>
    <col min="1" max="1" width="10.6640625" customWidth="1"/>
    <col min="2" max="2" width="12.109375" customWidth="1"/>
    <col min="3" max="3" width="11.109375" customWidth="1"/>
    <col min="4" max="4" width="12.33203125" customWidth="1"/>
    <col min="5" max="5" width="11.6640625" customWidth="1"/>
    <col min="6" max="6" width="10.33203125" customWidth="1"/>
    <col min="7" max="7" width="10.88671875" customWidth="1"/>
    <col min="8" max="8" width="12" customWidth="1"/>
    <col min="9" max="9" width="12.109375" customWidth="1"/>
    <col min="10" max="10" width="11.44140625" customWidth="1"/>
    <col min="11" max="11" width="12.21875" customWidth="1"/>
    <col min="12" max="12" width="10.88671875" customWidth="1"/>
    <col min="13" max="13" width="12.21875" customWidth="1"/>
    <col min="14" max="14" width="12.109375" customWidth="1"/>
    <col min="15" max="15" width="12.5546875" customWidth="1"/>
    <col min="16" max="16" width="12.21875" customWidth="1"/>
    <col min="17" max="17" width="12" customWidth="1"/>
    <col min="18" max="18" width="12.88671875" customWidth="1"/>
  </cols>
  <sheetData>
    <row r="1" spans="1:18" ht="15.6" x14ac:dyDescent="0.3">
      <c r="A1" s="1" t="s">
        <v>11</v>
      </c>
      <c r="B1" s="1" t="s">
        <v>9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</v>
      </c>
      <c r="L1" s="1" t="s">
        <v>6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7</v>
      </c>
      <c r="R1" s="1" t="s">
        <v>8</v>
      </c>
    </row>
    <row r="2" spans="1:18" ht="15.6" x14ac:dyDescent="0.3">
      <c r="A2" s="1">
        <v>60</v>
      </c>
      <c r="B2" s="1">
        <v>1</v>
      </c>
      <c r="C2" s="1">
        <f>B2*0.5*2.54</f>
        <v>1.27</v>
      </c>
      <c r="D2" s="1">
        <v>23495</v>
      </c>
      <c r="E2" s="1">
        <v>16726</v>
      </c>
      <c r="F2" s="1">
        <v>5934</v>
      </c>
      <c r="G2" s="5">
        <f>D2/A2</f>
        <v>391.58333333333331</v>
      </c>
      <c r="H2" s="5">
        <f>SQRT(D2)/A2</f>
        <v>2.5546798016363792</v>
      </c>
      <c r="I2" s="5">
        <f>E2/A2</f>
        <v>278.76666666666665</v>
      </c>
      <c r="J2" s="5">
        <f>SQRT(E2)/A2</f>
        <v>2.1554839621558566</v>
      </c>
      <c r="K2" s="5">
        <f>F2/A2</f>
        <v>98.9</v>
      </c>
      <c r="L2" s="5">
        <f>SQRT(F2)/A2</f>
        <v>1.2838743448380505</v>
      </c>
      <c r="M2" s="5">
        <f>G2-5.8233</f>
        <v>385.7600333333333</v>
      </c>
      <c r="N2" s="5">
        <f>SQRT(H2^2+0.1396^2)</f>
        <v>2.5584911664668475</v>
      </c>
      <c r="O2" s="5">
        <f>I2-4.6504</f>
        <v>274.11626666666666</v>
      </c>
      <c r="P2" s="5">
        <f>SQRT(J2^2+0.1257^2)</f>
        <v>2.1591460351516547</v>
      </c>
      <c r="Q2" s="5">
        <f>K2-0.1689</f>
        <v>98.731100000000012</v>
      </c>
      <c r="R2" s="5">
        <f>SQRT(L2^2+0.0447^2)</f>
        <v>1.2846522577465598</v>
      </c>
    </row>
    <row r="3" spans="1:18" ht="15.6" x14ac:dyDescent="0.3">
      <c r="A3" s="1">
        <v>60</v>
      </c>
      <c r="B3" s="1">
        <v>-1</v>
      </c>
      <c r="C3" s="1">
        <f t="shared" ref="C3:C7" si="0">B3*0.5*2.54</f>
        <v>-1.27</v>
      </c>
      <c r="D3" s="1">
        <v>17746</v>
      </c>
      <c r="E3" s="1">
        <v>22405</v>
      </c>
      <c r="F3" s="1">
        <v>5872</v>
      </c>
      <c r="G3" s="5">
        <f t="shared" ref="G3:G7" si="1">D3/A3</f>
        <v>295.76666666666665</v>
      </c>
      <c r="H3" s="5">
        <f t="shared" ref="H3:H7" si="2">SQRT(D3)/A3</f>
        <v>2.2202352227735793</v>
      </c>
      <c r="I3" s="5">
        <f t="shared" ref="I3:I7" si="3">E3/A3</f>
        <v>373.41666666666669</v>
      </c>
      <c r="J3" s="5">
        <f t="shared" ref="J3:J7" si="4">SQRT(E3)/A3</f>
        <v>2.494716639442466</v>
      </c>
      <c r="K3" s="5">
        <f t="shared" ref="K3:K7" si="5">F3/A3</f>
        <v>97.86666666666666</v>
      </c>
      <c r="L3" s="5">
        <f t="shared" ref="L3:L7" si="6">SQRT(F3)/A3</f>
        <v>1.2771496040445345</v>
      </c>
      <c r="M3" s="5">
        <f t="shared" ref="M3:M7" si="7">G3-5.8233</f>
        <v>289.94336666666663</v>
      </c>
      <c r="N3" s="5">
        <f t="shared" ref="N3:N7" si="8">SQRT(H3^2+0.1396^2)</f>
        <v>2.2246196538834329</v>
      </c>
      <c r="O3" s="5">
        <f t="shared" ref="O3:O7" si="9">I3-4.6504</f>
        <v>368.7662666666667</v>
      </c>
      <c r="P3" s="5">
        <f t="shared" ref="P3:P7" si="10">SQRT(J3^2+0.1257^2)</f>
        <v>2.4978814225481383</v>
      </c>
      <c r="Q3" s="5">
        <f t="shared" ref="Q3:Q7" si="11">K3-0.1689</f>
        <v>97.697766666666666</v>
      </c>
      <c r="R3" s="5">
        <f t="shared" ref="R3:R7" si="12">SQRT(L3^2+0.0447^2)</f>
        <v>1.2779316104984302</v>
      </c>
    </row>
    <row r="4" spans="1:18" ht="15.6" x14ac:dyDescent="0.3">
      <c r="A4" s="1">
        <v>60</v>
      </c>
      <c r="B4" s="1">
        <v>2</v>
      </c>
      <c r="C4" s="1">
        <f t="shared" si="0"/>
        <v>2.54</v>
      </c>
      <c r="D4" s="1">
        <v>27383</v>
      </c>
      <c r="E4" s="1">
        <v>14591</v>
      </c>
      <c r="F4" s="1">
        <v>5490</v>
      </c>
      <c r="G4" s="5">
        <f t="shared" si="1"/>
        <v>456.38333333333333</v>
      </c>
      <c r="H4" s="5">
        <f t="shared" si="2"/>
        <v>2.757968253785545</v>
      </c>
      <c r="I4" s="5">
        <f t="shared" si="3"/>
        <v>243.18333333333334</v>
      </c>
      <c r="J4" s="5">
        <f t="shared" si="4"/>
        <v>2.0132201954966464</v>
      </c>
      <c r="K4" s="5">
        <f t="shared" si="5"/>
        <v>91.5</v>
      </c>
      <c r="L4" s="5">
        <f t="shared" si="6"/>
        <v>1.2349089035228469</v>
      </c>
      <c r="M4" s="5">
        <f t="shared" si="7"/>
        <v>450.56003333333331</v>
      </c>
      <c r="N4" s="5">
        <f t="shared" si="8"/>
        <v>2.7614990582813692</v>
      </c>
      <c r="O4" s="5">
        <f t="shared" si="9"/>
        <v>238.53293333333335</v>
      </c>
      <c r="P4" s="5">
        <f t="shared" si="10"/>
        <v>2.0171405616752529</v>
      </c>
      <c r="Q4" s="5">
        <f t="shared" si="11"/>
        <v>91.331100000000006</v>
      </c>
      <c r="R4" s="5">
        <f t="shared" si="12"/>
        <v>1.2357176416965163</v>
      </c>
    </row>
    <row r="5" spans="1:18" ht="15.6" x14ac:dyDescent="0.3">
      <c r="A5" s="1">
        <v>60</v>
      </c>
      <c r="B5" s="1">
        <v>3</v>
      </c>
      <c r="C5" s="1">
        <f t="shared" si="0"/>
        <v>3.81</v>
      </c>
      <c r="D5" s="1">
        <v>32960</v>
      </c>
      <c r="E5" s="1">
        <v>13018</v>
      </c>
      <c r="F5" s="1">
        <v>4982</v>
      </c>
      <c r="G5" s="5">
        <f t="shared" si="1"/>
        <v>549.33333333333337</v>
      </c>
      <c r="H5" s="5">
        <f t="shared" si="2"/>
        <v>3.0258148581093911</v>
      </c>
      <c r="I5" s="5">
        <f t="shared" si="3"/>
        <v>216.96666666666667</v>
      </c>
      <c r="J5" s="5">
        <f t="shared" si="4"/>
        <v>1.9016075071136818</v>
      </c>
      <c r="K5" s="5">
        <f t="shared" si="5"/>
        <v>83.033333333333331</v>
      </c>
      <c r="L5" s="5">
        <f t="shared" si="6"/>
        <v>1.1763880690014197</v>
      </c>
      <c r="M5" s="5">
        <f t="shared" si="7"/>
        <v>543.51003333333335</v>
      </c>
      <c r="N5" s="5">
        <f t="shared" si="8"/>
        <v>3.0290334622706885</v>
      </c>
      <c r="O5" s="5">
        <f t="shared" si="9"/>
        <v>212.31626666666668</v>
      </c>
      <c r="P5" s="5">
        <f t="shared" si="10"/>
        <v>1.9057574874865666</v>
      </c>
      <c r="Q5" s="5">
        <f t="shared" si="11"/>
        <v>82.864433333333338</v>
      </c>
      <c r="R5" s="5">
        <f t="shared" si="12"/>
        <v>1.1772370104991132</v>
      </c>
    </row>
    <row r="6" spans="1:18" ht="15.6" x14ac:dyDescent="0.3">
      <c r="A6" s="1">
        <v>60</v>
      </c>
      <c r="B6" s="1">
        <v>-2</v>
      </c>
      <c r="C6" s="1">
        <f t="shared" si="0"/>
        <v>-2.54</v>
      </c>
      <c r="D6" s="1">
        <v>15186</v>
      </c>
      <c r="E6" s="1">
        <v>26171</v>
      </c>
      <c r="F6" s="1">
        <v>5357</v>
      </c>
      <c r="G6" s="5">
        <f t="shared" si="1"/>
        <v>253.1</v>
      </c>
      <c r="H6" s="5">
        <f t="shared" si="2"/>
        <v>2.0538581580365607</v>
      </c>
      <c r="I6" s="5">
        <f t="shared" si="3"/>
        <v>436.18333333333334</v>
      </c>
      <c r="J6" s="5">
        <f t="shared" si="4"/>
        <v>2.6962422410128917</v>
      </c>
      <c r="K6" s="5">
        <f t="shared" si="5"/>
        <v>89.283333333333331</v>
      </c>
      <c r="L6" s="5">
        <f t="shared" si="6"/>
        <v>1.2198588260760159</v>
      </c>
      <c r="M6" s="5">
        <f t="shared" si="7"/>
        <v>247.27670000000001</v>
      </c>
      <c r="N6" s="5">
        <f t="shared" si="8"/>
        <v>2.058596972049977</v>
      </c>
      <c r="O6" s="5">
        <f t="shared" si="9"/>
        <v>431.53293333333335</v>
      </c>
      <c r="P6" s="5">
        <f t="shared" si="10"/>
        <v>2.6991707452886748</v>
      </c>
      <c r="Q6" s="5">
        <f t="shared" si="11"/>
        <v>89.114433333333338</v>
      </c>
      <c r="R6" s="5">
        <f t="shared" si="12"/>
        <v>1.2206775354513393</v>
      </c>
    </row>
    <row r="7" spans="1:18" ht="15.6" x14ac:dyDescent="0.3">
      <c r="A7" s="1">
        <v>60</v>
      </c>
      <c r="B7" s="1">
        <v>-3</v>
      </c>
      <c r="C7" s="1">
        <f t="shared" si="0"/>
        <v>-3.81</v>
      </c>
      <c r="D7" s="1">
        <v>13278</v>
      </c>
      <c r="E7" s="1">
        <v>30850</v>
      </c>
      <c r="F7" s="1">
        <v>4807</v>
      </c>
      <c r="G7" s="5">
        <f t="shared" si="1"/>
        <v>221.3</v>
      </c>
      <c r="H7" s="5">
        <f t="shared" si="2"/>
        <v>1.9205034062279958</v>
      </c>
      <c r="I7" s="5">
        <f t="shared" si="3"/>
        <v>514.16666666666663</v>
      </c>
      <c r="J7" s="5">
        <f t="shared" si="4"/>
        <v>2.927361345041716</v>
      </c>
      <c r="K7" s="5">
        <f t="shared" si="5"/>
        <v>80.11666666666666</v>
      </c>
      <c r="L7" s="5">
        <f t="shared" si="6"/>
        <v>1.15554220077753</v>
      </c>
      <c r="M7" s="5">
        <f t="shared" si="7"/>
        <v>215.47670000000002</v>
      </c>
      <c r="N7" s="5">
        <f t="shared" si="8"/>
        <v>1.9255704332309773</v>
      </c>
      <c r="O7" s="5">
        <f t="shared" si="9"/>
        <v>509.51626666666664</v>
      </c>
      <c r="P7" s="5">
        <f>SQRT(J7^2+0.1257^2)</f>
        <v>2.930058861941931</v>
      </c>
      <c r="Q7" s="5">
        <f t="shared" si="11"/>
        <v>79.947766666666666</v>
      </c>
      <c r="R7" s="5">
        <f t="shared" si="12"/>
        <v>1.1564064457524343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8B4F-A4F7-42AC-AD64-DAE511D4D566}">
  <dimension ref="A1:G4"/>
  <sheetViews>
    <sheetView zoomScale="120" zoomScaleNormal="120" workbookViewId="0">
      <selection activeCell="G7" sqref="G7"/>
    </sheetView>
  </sheetViews>
  <sheetFormatPr defaultRowHeight="14.4" x14ac:dyDescent="0.3"/>
  <sheetData>
    <row r="1" spans="1:7" x14ac:dyDescent="0.3">
      <c r="A1" s="2" t="s">
        <v>39</v>
      </c>
      <c r="B1" s="2" t="s">
        <v>3</v>
      </c>
      <c r="C1" s="2" t="s">
        <v>4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7" x14ac:dyDescent="0.3">
      <c r="A2" s="2">
        <v>1200</v>
      </c>
      <c r="B2" s="2">
        <v>6960</v>
      </c>
      <c r="C2" s="2">
        <v>5469</v>
      </c>
      <c r="D2" s="3">
        <f>B2/A2</f>
        <v>5.8</v>
      </c>
      <c r="E2" s="3">
        <f>SQRT(B2)/A2</f>
        <v>6.9522178715380703E-2</v>
      </c>
      <c r="F2" s="3">
        <f>C2/A2</f>
        <v>4.5575000000000001</v>
      </c>
      <c r="G2" s="3">
        <f>SQRT(C2)/A2</f>
        <v>6.1627239648281068E-2</v>
      </c>
    </row>
    <row r="3" spans="1:7" x14ac:dyDescent="0.3">
      <c r="A3" s="2">
        <v>300</v>
      </c>
      <c r="B3" s="2">
        <v>1754</v>
      </c>
      <c r="C3" s="2">
        <v>1423</v>
      </c>
      <c r="D3" s="3">
        <f>B3/A3</f>
        <v>5.8466666666666667</v>
      </c>
      <c r="E3" s="4">
        <f>SQRT(B3)/A3</f>
        <v>0.13960261060914617</v>
      </c>
      <c r="F3" s="3">
        <f>C3/A3</f>
        <v>4.7433333333333332</v>
      </c>
      <c r="G3" s="4">
        <f>SQRT(C3)/A3</f>
        <v>0.12574224075906679</v>
      </c>
    </row>
    <row r="4" spans="1:7" x14ac:dyDescent="0.3">
      <c r="D4" s="4">
        <f>SUM(D2:D3)/2</f>
        <v>5.8233333333333333</v>
      </c>
      <c r="E4" s="3">
        <f>D4-D2</f>
        <v>2.3333333333333428E-2</v>
      </c>
      <c r="F4" s="4">
        <f>SUM(F2:F3)/2</f>
        <v>4.6504166666666666</v>
      </c>
      <c r="G4" s="3">
        <f>F4-F2</f>
        <v>9.2916666666666536E-2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corr_angular</vt:lpstr>
      <vt:lpstr>eficiencia</vt:lpstr>
      <vt:lpstr>eixo_detetores</vt:lpstr>
      <vt:lpstr>fundo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coimbra</dc:creator>
  <cp:lastModifiedBy>Guilherme Neves Coimbra</cp:lastModifiedBy>
  <dcterms:created xsi:type="dcterms:W3CDTF">2015-06-05T18:19:34Z</dcterms:created>
  <dcterms:modified xsi:type="dcterms:W3CDTF">2023-10-30T13:21:45Z</dcterms:modified>
</cp:coreProperties>
</file>