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3\"/>
    </mc:Choice>
  </mc:AlternateContent>
  <xr:revisionPtr revIDLastSave="0" documentId="13_ncr:1_{B567B708-40D8-475E-84EF-A7A2F620FD30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Botao-Osciloscopio" sheetId="2" r:id="rId1"/>
    <sheet name="Janela" sheetId="3" r:id="rId2"/>
    <sheet name="Fortuitas" sheetId="1" r:id="rId3"/>
    <sheet name="Plano equidistante" sheetId="4" r:id="rId4"/>
    <sheet name="theta distanc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2" i="5"/>
  <c r="F3" i="5"/>
  <c r="F4" i="5"/>
  <c r="F5" i="5"/>
  <c r="F6" i="5"/>
  <c r="F7" i="5"/>
  <c r="F2" i="5"/>
  <c r="I5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2" i="4"/>
  <c r="H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34" i="4"/>
  <c r="B35" i="4"/>
  <c r="B36" i="4"/>
  <c r="B37" i="4"/>
  <c r="B38" i="4"/>
  <c r="B39" i="4"/>
  <c r="B40" i="4"/>
  <c r="B41" i="4"/>
  <c r="B42" i="4"/>
  <c r="B43" i="4"/>
  <c r="B24" i="4"/>
  <c r="B25" i="4"/>
  <c r="B26" i="4"/>
  <c r="B27" i="4"/>
  <c r="B28" i="4"/>
  <c r="B29" i="4"/>
  <c r="B30" i="4"/>
  <c r="B31" i="4"/>
  <c r="B32" i="4"/>
  <c r="B33" i="4"/>
  <c r="B14" i="4"/>
  <c r="B15" i="4"/>
  <c r="B16" i="4"/>
  <c r="B17" i="4"/>
  <c r="B18" i="4"/>
  <c r="B19" i="4"/>
  <c r="B20" i="4"/>
  <c r="B21" i="4"/>
  <c r="B22" i="4"/>
  <c r="B23" i="4"/>
  <c r="B3" i="4"/>
  <c r="B4" i="4"/>
  <c r="B5" i="4"/>
  <c r="B6" i="4"/>
  <c r="B7" i="4"/>
  <c r="B8" i="4"/>
  <c r="B9" i="4"/>
  <c r="B10" i="4"/>
  <c r="B11" i="4"/>
  <c r="B12" i="4"/>
  <c r="B13" i="4"/>
  <c r="B2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Q2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I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2" i="1"/>
  <c r="F3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F5" i="3"/>
  <c r="F6" i="3"/>
  <c r="F7" i="3"/>
  <c r="F8" i="3"/>
  <c r="F9" i="3"/>
  <c r="F11" i="3"/>
  <c r="F13" i="3"/>
  <c r="F14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3" i="3"/>
  <c r="D4" i="3"/>
  <c r="F4" i="3" s="1"/>
  <c r="D5" i="3"/>
  <c r="D6" i="3"/>
  <c r="D7" i="3"/>
  <c r="D8" i="3"/>
  <c r="D9" i="3"/>
  <c r="D10" i="3"/>
  <c r="F10" i="3" s="1"/>
  <c r="D11" i="3"/>
  <c r="D12" i="3"/>
  <c r="F12" i="3" s="1"/>
  <c r="D13" i="3"/>
  <c r="D14" i="3"/>
  <c r="D2" i="3"/>
  <c r="F2" i="3" s="1"/>
  <c r="A14" i="3"/>
  <c r="A13" i="3"/>
  <c r="A12" i="3"/>
  <c r="A11" i="3"/>
  <c r="A10" i="3"/>
  <c r="A9" i="3"/>
  <c r="A8" i="3"/>
  <c r="A7" i="3"/>
  <c r="A6" i="3"/>
  <c r="A5" i="3"/>
  <c r="A4" i="3"/>
  <c r="A3" i="3"/>
  <c r="A2" i="3"/>
  <c r="C7" i="2"/>
  <c r="C8" i="2"/>
  <c r="C6" i="2"/>
  <c r="C4" i="2"/>
  <c r="C5" i="2"/>
  <c r="C3" i="2"/>
  <c r="C2" i="2"/>
  <c r="B3" i="2"/>
  <c r="B2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<sst xmlns="http://schemas.openxmlformats.org/spreadsheetml/2006/main" count="44" uniqueCount="36">
  <si>
    <t>t [s]</t>
  </si>
  <si>
    <t>Botão</t>
  </si>
  <si>
    <t>Osciloscopio</t>
  </si>
  <si>
    <t>Ca</t>
  </si>
  <si>
    <t>Cb</t>
  </si>
  <si>
    <t>Cc</t>
  </si>
  <si>
    <t>Rc</t>
  </si>
  <si>
    <t>Botao [ns]</t>
  </si>
  <si>
    <t>Osciloscopio [ns]</t>
  </si>
  <si>
    <t>incerteza [ns]</t>
  </si>
  <si>
    <t>incerteza</t>
  </si>
  <si>
    <t>incerteza Cc</t>
  </si>
  <si>
    <t>Rc [1/s]</t>
  </si>
  <si>
    <t>incerteza Rc [1/s]</t>
  </si>
  <si>
    <t>Rf exp</t>
  </si>
  <si>
    <t>Rf teo</t>
  </si>
  <si>
    <t>Ra</t>
  </si>
  <si>
    <t>Rb</t>
  </si>
  <si>
    <t xml:space="preserve">Rc </t>
  </si>
  <si>
    <t>eRa</t>
  </si>
  <si>
    <t>eRb</t>
  </si>
  <si>
    <t>eRc</t>
  </si>
  <si>
    <t>eRf teo</t>
  </si>
  <si>
    <t>eRf exp</t>
  </si>
  <si>
    <t>x [cm]</t>
  </si>
  <si>
    <t>theta [graus]</t>
  </si>
  <si>
    <t>Rc corr</t>
  </si>
  <si>
    <t>eRc corr</t>
  </si>
  <si>
    <t>x [0.5in]</t>
  </si>
  <si>
    <t>d</t>
  </si>
  <si>
    <t>theta</t>
  </si>
  <si>
    <t>etheta</t>
  </si>
  <si>
    <t>sigma</t>
  </si>
  <si>
    <t>esigma</t>
  </si>
  <si>
    <t>FWHM</t>
  </si>
  <si>
    <t>eFWHM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</si>
</sst>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/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'Botao-Osciloscopio'!$A$2:$A$8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'Botao-Osciloscopio'!$B$2:$B$8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95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5-4F28-AE06-1CA9D1E3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68832"/>
        <c:axId val="2077427408"/>
      </c:scatterChart>
      <c:valAx>
        <c:axId val="19360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427408"/>
        <c:crosses val="autoZero"/>
        <c:crossBetween val="midCat"/>
      </c:valAx>
      <c:valAx>
        <c:axId val="20774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0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rf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68829860210783E-2"/>
                  <c:y val="0.3046248906386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Fortuitas!$N$2:$N$9</c:f>
              <c:numCache>
                <c:formatCode>0.0000</c:formatCode>
                <c:ptCount val="8"/>
                <c:pt idx="0">
                  <c:v>4.7819862539063999E-2</c:v>
                </c:pt>
                <c:pt idx="1">
                  <c:v>0.1423707186</c:v>
                </c:pt>
                <c:pt idx="2">
                  <c:v>0.179806994</c:v>
                </c:pt>
                <c:pt idx="3">
                  <c:v>0.18519302448852201</c:v>
                </c:pt>
                <c:pt idx="4">
                  <c:v>0.22298931599999999</c:v>
                </c:pt>
                <c:pt idx="5">
                  <c:v>0.48919616599759763</c:v>
                </c:pt>
                <c:pt idx="6">
                  <c:v>0.69110841455291905</c:v>
                </c:pt>
                <c:pt idx="7">
                  <c:v>0.92574374315599794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8-4132-9525-EB00FC7AB095}"/>
            </c:ext>
          </c:extLst>
        </c:ser>
        <c:ser>
          <c:idx val="1"/>
          <c:order val="1"/>
          <c:tx>
            <c:v>rf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741146518836041E-2"/>
                  <c:y val="3.8654855643044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Fortuitas!$P$2:$P$9</c:f>
              <c:numCache>
                <c:formatCode>0.0000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0.55000000000000004</c:v>
                </c:pt>
                <c:pt idx="6">
                  <c:v>1.05</c:v>
                </c:pt>
                <c:pt idx="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8-4132-9525-EB00FC7A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84128"/>
        <c:axId val="742766656"/>
      </c:scatterChart>
      <c:valAx>
        <c:axId val="6764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2766656"/>
        <c:crosses val="autoZero"/>
        <c:crossBetween val="midCat"/>
      </c:valAx>
      <c:valAx>
        <c:axId val="7427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64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</xdr:colOff>
      <xdr:row>8</xdr:row>
      <xdr:rowOff>79057</xdr:rowOff>
    </xdr:from>
    <xdr:to>
      <xdr:col>4</xdr:col>
      <xdr:colOff>167640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77ECF-60DA-A501-86D0-6E576FE8F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10</xdr:row>
      <xdr:rowOff>166687</xdr:rowOff>
    </xdr:from>
    <xdr:to>
      <xdr:col>11</xdr:col>
      <xdr:colOff>19050</xdr:colOff>
      <xdr:row>26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19211-E061-A429-9A03-F6EF41630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9E6C-1B0C-43D2-B1FD-FD1A751783D9}">
  <dimension ref="A1:D8"/>
  <sheetViews>
    <sheetView workbookViewId="0">
      <selection activeCell="G15" sqref="G15"/>
    </sheetView>
  </sheetViews>
  <sheetFormatPr defaultRowHeight="14.4" x14ac:dyDescent="0.3"/>
  <cols>
    <col min="1" max="1" width="13.6640625" customWidth="1"/>
    <col min="2" max="2" width="19.109375" customWidth="1"/>
    <col min="3" max="3" width="15.109375" customWidth="1"/>
  </cols>
  <sheetData>
    <row r="1" spans="1:4" x14ac:dyDescent="0.3">
      <c r="A1" s="1" t="s">
        <v>7</v>
      </c>
      <c r="B1" s="1" t="s">
        <v>8</v>
      </c>
      <c r="C1" s="1" t="s">
        <v>9</v>
      </c>
      <c r="D1" s="1"/>
    </row>
    <row r="2" spans="1:4" x14ac:dyDescent="0.3">
      <c r="A2" s="1">
        <v>50</v>
      </c>
      <c r="B2" s="1">
        <f>2*25</f>
        <v>50</v>
      </c>
      <c r="C2" s="1">
        <f>0.4*25</f>
        <v>10</v>
      </c>
      <c r="D2" s="1"/>
    </row>
    <row r="3" spans="1:4" x14ac:dyDescent="0.3">
      <c r="A3" s="1">
        <v>75</v>
      </c>
      <c r="B3" s="1">
        <f>2.8*25</f>
        <v>70</v>
      </c>
      <c r="C3" s="1">
        <f>0.4*25</f>
        <v>10</v>
      </c>
      <c r="D3" s="1"/>
    </row>
    <row r="4" spans="1:4" x14ac:dyDescent="0.3">
      <c r="A4" s="1">
        <v>100</v>
      </c>
      <c r="B4" s="1">
        <f>3.8*25</f>
        <v>95</v>
      </c>
      <c r="C4" s="1">
        <f>0.4*25</f>
        <v>10</v>
      </c>
      <c r="D4" s="1"/>
    </row>
    <row r="5" spans="1:4" x14ac:dyDescent="0.3">
      <c r="A5" s="1">
        <v>125</v>
      </c>
      <c r="B5" s="1">
        <f>4.8*25</f>
        <v>120</v>
      </c>
      <c r="C5" s="1">
        <f>0.4*25</f>
        <v>10</v>
      </c>
      <c r="D5" s="1"/>
    </row>
    <row r="6" spans="1:4" x14ac:dyDescent="0.3">
      <c r="A6" s="1">
        <v>150</v>
      </c>
      <c r="B6" s="1">
        <f>2.8*50</f>
        <v>140</v>
      </c>
      <c r="C6" s="1">
        <f>0.2*50</f>
        <v>10</v>
      </c>
      <c r="D6" s="1"/>
    </row>
    <row r="7" spans="1:4" x14ac:dyDescent="0.3">
      <c r="A7" s="1">
        <v>175</v>
      </c>
      <c r="B7" s="1">
        <f>3.2*50</f>
        <v>160</v>
      </c>
      <c r="C7" s="1">
        <f t="shared" ref="C7:C8" si="0">0.2*50</f>
        <v>10</v>
      </c>
      <c r="D7" s="1"/>
    </row>
    <row r="8" spans="1:4" x14ac:dyDescent="0.3">
      <c r="A8" s="1">
        <v>200</v>
      </c>
      <c r="B8" s="1">
        <f>3.6*50</f>
        <v>180</v>
      </c>
      <c r="C8" s="1">
        <f t="shared" si="0"/>
        <v>10</v>
      </c>
      <c r="D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0D7-2D7E-4454-99E6-2AD56FF082C7}">
  <dimension ref="A1:F14"/>
  <sheetViews>
    <sheetView workbookViewId="0">
      <selection sqref="A1:F14"/>
    </sheetView>
  </sheetViews>
  <sheetFormatPr defaultRowHeight="14.4" x14ac:dyDescent="0.3"/>
  <cols>
    <col min="1" max="1" width="21" customWidth="1"/>
    <col min="2" max="2" width="15.21875" customWidth="1"/>
    <col min="4" max="4" width="14.33203125" customWidth="1"/>
    <col min="5" max="5" width="14.21875" customWidth="1"/>
    <col min="6" max="6" width="18.77734375" customWidth="1"/>
  </cols>
  <sheetData>
    <row r="1" spans="1:6" x14ac:dyDescent="0.3">
      <c r="A1" s="1" t="s">
        <v>8</v>
      </c>
      <c r="B1" s="1" t="s">
        <v>9</v>
      </c>
      <c r="C1" s="2" t="s">
        <v>5</v>
      </c>
      <c r="D1" s="1" t="s">
        <v>11</v>
      </c>
      <c r="E1" s="1" t="s">
        <v>12</v>
      </c>
      <c r="F1" s="1" t="s">
        <v>13</v>
      </c>
    </row>
    <row r="2" spans="1:6" x14ac:dyDescent="0.3">
      <c r="A2" s="3">
        <f>4.2*25</f>
        <v>105</v>
      </c>
      <c r="B2" s="3">
        <f>0.4*25</f>
        <v>10</v>
      </c>
      <c r="C2" s="3">
        <v>1E-4</v>
      </c>
      <c r="D2" s="3">
        <f>SQRT(C2)</f>
        <v>0.01</v>
      </c>
      <c r="E2" s="3">
        <f>C2/5</f>
        <v>2.0000000000000002E-5</v>
      </c>
      <c r="F2" s="3">
        <f>D2/5</f>
        <v>2E-3</v>
      </c>
    </row>
    <row r="3" spans="1:6" x14ac:dyDescent="0.3">
      <c r="A3" s="3">
        <f>4.4*25</f>
        <v>110.00000000000001</v>
      </c>
      <c r="B3" s="3">
        <f t="shared" ref="B3:B14" si="0">0.4*25</f>
        <v>10</v>
      </c>
      <c r="C3" s="3">
        <v>1</v>
      </c>
      <c r="D3" s="3">
        <f t="shared" ref="D3:D14" si="1">SQRT(C3)</f>
        <v>1</v>
      </c>
      <c r="E3" s="3">
        <f t="shared" ref="E3:E14" si="2">C3/5</f>
        <v>0.2</v>
      </c>
      <c r="F3" s="3">
        <f>D3/5</f>
        <v>0.2</v>
      </c>
    </row>
    <row r="4" spans="1:6" x14ac:dyDescent="0.3">
      <c r="A4" s="3">
        <f>4.6*25</f>
        <v>114.99999999999999</v>
      </c>
      <c r="B4" s="3">
        <f t="shared" si="0"/>
        <v>10</v>
      </c>
      <c r="C4" s="3">
        <v>1E-4</v>
      </c>
      <c r="D4" s="3">
        <f t="shared" si="1"/>
        <v>0.01</v>
      </c>
      <c r="E4" s="3">
        <f t="shared" si="2"/>
        <v>2.0000000000000002E-5</v>
      </c>
      <c r="F4" s="3">
        <f t="shared" ref="F4:F14" si="3">D4/5</f>
        <v>2E-3</v>
      </c>
    </row>
    <row r="5" spans="1:6" x14ac:dyDescent="0.3">
      <c r="A5" s="3">
        <f>4.8*25</f>
        <v>120</v>
      </c>
      <c r="B5" s="3">
        <f t="shared" si="0"/>
        <v>10</v>
      </c>
      <c r="C5" s="3">
        <v>7</v>
      </c>
      <c r="D5" s="3">
        <f t="shared" si="1"/>
        <v>2.6457513110645907</v>
      </c>
      <c r="E5" s="3">
        <f t="shared" si="2"/>
        <v>1.4</v>
      </c>
      <c r="F5" s="3">
        <f t="shared" si="3"/>
        <v>0.52915026221291817</v>
      </c>
    </row>
    <row r="6" spans="1:6" x14ac:dyDescent="0.3">
      <c r="A6" s="3">
        <f>5*25</f>
        <v>125</v>
      </c>
      <c r="B6" s="3">
        <f t="shared" si="0"/>
        <v>10</v>
      </c>
      <c r="C6" s="3">
        <v>52</v>
      </c>
      <c r="D6" s="3">
        <f t="shared" si="1"/>
        <v>7.2111025509279782</v>
      </c>
      <c r="E6" s="3">
        <f t="shared" si="2"/>
        <v>10.4</v>
      </c>
      <c r="F6" s="3">
        <f t="shared" si="3"/>
        <v>1.4422205101855956</v>
      </c>
    </row>
    <row r="7" spans="1:6" x14ac:dyDescent="0.3">
      <c r="A7" s="3">
        <f>5.2*25</f>
        <v>130</v>
      </c>
      <c r="B7" s="3">
        <f t="shared" si="0"/>
        <v>10</v>
      </c>
      <c r="C7" s="3">
        <v>165</v>
      </c>
      <c r="D7" s="3">
        <f t="shared" si="1"/>
        <v>12.845232578665129</v>
      </c>
      <c r="E7" s="3">
        <f t="shared" si="2"/>
        <v>33</v>
      </c>
      <c r="F7" s="3">
        <f t="shared" si="3"/>
        <v>2.5690465157330258</v>
      </c>
    </row>
    <row r="8" spans="1:6" x14ac:dyDescent="0.3">
      <c r="A8" s="3">
        <f>5.4*25</f>
        <v>135</v>
      </c>
      <c r="B8" s="3">
        <f t="shared" si="0"/>
        <v>10</v>
      </c>
      <c r="C8" s="3">
        <v>395</v>
      </c>
      <c r="D8" s="3">
        <f t="shared" si="1"/>
        <v>19.874606914351791</v>
      </c>
      <c r="E8" s="3">
        <f t="shared" si="2"/>
        <v>79</v>
      </c>
      <c r="F8" s="3">
        <f t="shared" si="3"/>
        <v>3.9749213828703582</v>
      </c>
    </row>
    <row r="9" spans="1:6" x14ac:dyDescent="0.3">
      <c r="A9" s="3">
        <f>5.6*25</f>
        <v>140</v>
      </c>
      <c r="B9" s="3">
        <f t="shared" si="0"/>
        <v>10</v>
      </c>
      <c r="C9" s="3">
        <v>502</v>
      </c>
      <c r="D9" s="3">
        <f t="shared" si="1"/>
        <v>22.405356502408079</v>
      </c>
      <c r="E9" s="3">
        <f t="shared" si="2"/>
        <v>100.4</v>
      </c>
      <c r="F9" s="3">
        <f t="shared" si="3"/>
        <v>4.4810713004816156</v>
      </c>
    </row>
    <row r="10" spans="1:6" x14ac:dyDescent="0.3">
      <c r="A10" s="3">
        <f>6*25</f>
        <v>150</v>
      </c>
      <c r="B10" s="3">
        <f t="shared" si="0"/>
        <v>10</v>
      </c>
      <c r="C10" s="3">
        <v>455</v>
      </c>
      <c r="D10" s="3">
        <f t="shared" si="1"/>
        <v>21.330729007701542</v>
      </c>
      <c r="E10" s="3">
        <f t="shared" si="2"/>
        <v>91</v>
      </c>
      <c r="F10" s="3">
        <f t="shared" si="3"/>
        <v>4.2661458015403086</v>
      </c>
    </row>
    <row r="11" spans="1:6" x14ac:dyDescent="0.3">
      <c r="A11" s="3">
        <f>6.2*25</f>
        <v>155</v>
      </c>
      <c r="B11" s="3">
        <f t="shared" si="0"/>
        <v>10</v>
      </c>
      <c r="C11" s="3">
        <v>511</v>
      </c>
      <c r="D11" s="3">
        <f t="shared" si="1"/>
        <v>22.605309110914629</v>
      </c>
      <c r="E11" s="3">
        <f t="shared" si="2"/>
        <v>102.2</v>
      </c>
      <c r="F11" s="3">
        <f t="shared" si="3"/>
        <v>4.5210618221829257</v>
      </c>
    </row>
    <row r="12" spans="1:6" x14ac:dyDescent="0.3">
      <c r="A12" s="3">
        <f>6.4*25</f>
        <v>160</v>
      </c>
      <c r="B12" s="3">
        <f t="shared" si="0"/>
        <v>10</v>
      </c>
      <c r="C12" s="3">
        <v>497</v>
      </c>
      <c r="D12" s="3">
        <f t="shared" si="1"/>
        <v>22.293496809607955</v>
      </c>
      <c r="E12" s="3">
        <f t="shared" si="2"/>
        <v>99.4</v>
      </c>
      <c r="F12" s="3">
        <f t="shared" si="3"/>
        <v>4.4586993619215907</v>
      </c>
    </row>
    <row r="13" spans="1:6" x14ac:dyDescent="0.3">
      <c r="A13" s="3">
        <f>6.6*25</f>
        <v>165</v>
      </c>
      <c r="B13" s="3">
        <f t="shared" si="0"/>
        <v>10</v>
      </c>
      <c r="C13" s="3">
        <v>504</v>
      </c>
      <c r="D13" s="3">
        <f t="shared" si="1"/>
        <v>22.449944320643649</v>
      </c>
      <c r="E13" s="3">
        <f t="shared" si="2"/>
        <v>100.8</v>
      </c>
      <c r="F13" s="3">
        <f t="shared" si="3"/>
        <v>4.4899888641287298</v>
      </c>
    </row>
    <row r="14" spans="1:6" x14ac:dyDescent="0.3">
      <c r="A14" s="3">
        <f>7.4*25</f>
        <v>185</v>
      </c>
      <c r="B14" s="3">
        <f t="shared" si="0"/>
        <v>10</v>
      </c>
      <c r="C14" s="3">
        <v>525</v>
      </c>
      <c r="D14" s="3">
        <f t="shared" si="1"/>
        <v>22.912878474779198</v>
      </c>
      <c r="E14" s="3">
        <f t="shared" si="2"/>
        <v>105</v>
      </c>
      <c r="F14" s="3">
        <f t="shared" si="3"/>
        <v>4.5825756949558398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B1" workbookViewId="0">
      <selection activeCell="M21" sqref="M21"/>
    </sheetView>
  </sheetViews>
  <sheetFormatPr defaultRowHeight="14.4" x14ac:dyDescent="0.3"/>
  <cols>
    <col min="1" max="1" width="15.44140625" customWidth="1"/>
    <col min="2" max="2" width="16.21875" customWidth="1"/>
    <col min="3" max="3" width="23.109375" customWidth="1"/>
    <col min="4" max="4" width="11.88671875" customWidth="1"/>
    <col min="5" max="5" width="11.109375" customWidth="1"/>
    <col min="6" max="6" width="11.77734375" customWidth="1"/>
    <col min="7" max="7" width="10.21875" customWidth="1"/>
    <col min="8" max="8" width="19.6640625" customWidth="1"/>
    <col min="9" max="9" width="25.109375" customWidth="1"/>
    <col min="10" max="10" width="9.33203125" bestFit="1" customWidth="1"/>
    <col min="11" max="14" width="9" bestFit="1" customWidth="1"/>
    <col min="15" max="15" width="10.109375" bestFit="1" customWidth="1"/>
    <col min="16" max="17" width="9" bestFit="1" customWidth="1"/>
  </cols>
  <sheetData>
    <row r="1" spans="1:17" ht="15.6" x14ac:dyDescent="0.3">
      <c r="A1" s="5" t="s">
        <v>0</v>
      </c>
      <c r="B1" s="6" t="s">
        <v>1</v>
      </c>
      <c r="C1" s="6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16</v>
      </c>
      <c r="I1" s="7" t="s">
        <v>19</v>
      </c>
      <c r="J1" s="7" t="s">
        <v>17</v>
      </c>
      <c r="K1" s="7" t="s">
        <v>20</v>
      </c>
      <c r="L1" s="7" t="s">
        <v>18</v>
      </c>
      <c r="M1" s="7" t="s">
        <v>21</v>
      </c>
      <c r="N1" s="7" t="s">
        <v>15</v>
      </c>
      <c r="O1" s="7" t="s">
        <v>22</v>
      </c>
      <c r="P1" s="7" t="s">
        <v>14</v>
      </c>
      <c r="Q1" s="7" t="s">
        <v>23</v>
      </c>
    </row>
    <row r="2" spans="1:17" ht="15.6" x14ac:dyDescent="0.3">
      <c r="A2" s="5">
        <v>20</v>
      </c>
      <c r="B2" s="5">
        <v>250</v>
      </c>
      <c r="C2" s="8">
        <f>0.8789*B2+6.6071</f>
        <v>226.3321</v>
      </c>
      <c r="D2" s="9">
        <f>SQRT(0.003*B2*B2+0.7719*0+5.7336)</f>
        <v>13.900848894941632</v>
      </c>
      <c r="E2" s="8">
        <v>6512</v>
      </c>
      <c r="F2" s="9">
        <v>6489</v>
      </c>
      <c r="G2" s="8">
        <v>5</v>
      </c>
      <c r="H2" s="9">
        <f>E2/A2</f>
        <v>325.60000000000002</v>
      </c>
      <c r="I2" s="9">
        <f>SQRT(E2)/A2</f>
        <v>4.0348482003664028</v>
      </c>
      <c r="J2" s="9">
        <f>F2/A2</f>
        <v>324.45</v>
      </c>
      <c r="K2" s="9">
        <f>SQRT(F2)/A2</f>
        <v>4.0277164746292655</v>
      </c>
      <c r="L2" s="9">
        <f>G2/A2</f>
        <v>0.25</v>
      </c>
      <c r="M2" s="9">
        <f>SQRT(G2)/A2</f>
        <v>0.1118033988749895</v>
      </c>
      <c r="N2" s="9">
        <f>2*H2*J2*C2*10^-9</f>
        <v>4.7819862539063999E-2</v>
      </c>
      <c r="O2" s="9">
        <f>SQRT(4*H2*H2*J2*J2*D2*10^-9*D2*10^-9+4*H2*H2*C2*10^-9*C2*10^-9*K2*K2+4*J2*J2*C2*10^-9*C2*10^-9*I2*I2)</f>
        <v>3.054424845873472E-3</v>
      </c>
      <c r="P2" s="9">
        <f>L2</f>
        <v>0.25</v>
      </c>
      <c r="Q2" s="9">
        <f>M2</f>
        <v>0.1118033988749895</v>
      </c>
    </row>
    <row r="3" spans="1:17" ht="15.6" x14ac:dyDescent="0.3">
      <c r="A3" s="5">
        <v>20</v>
      </c>
      <c r="B3" s="5">
        <v>750</v>
      </c>
      <c r="C3" s="8">
        <f>6.6*100</f>
        <v>660</v>
      </c>
      <c r="D3" s="9">
        <f>0.1*100</f>
        <v>10</v>
      </c>
      <c r="E3" s="8">
        <v>6619</v>
      </c>
      <c r="F3" s="9">
        <v>6518</v>
      </c>
      <c r="G3" s="8">
        <v>7</v>
      </c>
      <c r="H3" s="9">
        <f t="shared" ref="H3:H9" si="0">E3/A3</f>
        <v>330.95</v>
      </c>
      <c r="I3" s="9">
        <f t="shared" ref="I3:I9" si="1">SQRT(E3)/A3</f>
        <v>4.0678618462283103</v>
      </c>
      <c r="J3" s="9">
        <f t="shared" ref="J3:J9" si="2">F3/A3</f>
        <v>325.89999999999998</v>
      </c>
      <c r="K3" s="9">
        <f t="shared" ref="K3:K9" si="3">SQRT(F3)/A3</f>
        <v>4.0367065783878813</v>
      </c>
      <c r="L3" s="9">
        <f t="shared" ref="L3:L9" si="4">G3/A3</f>
        <v>0.35</v>
      </c>
      <c r="M3" s="9">
        <f t="shared" ref="M3:M9" si="5">SQRT(G3)/A3</f>
        <v>0.13228756555322954</v>
      </c>
      <c r="N3" s="9">
        <f t="shared" ref="N3:N9" si="6">2*H3*J3*C3*10^-9</f>
        <v>0.1423707186</v>
      </c>
      <c r="O3" s="9">
        <f t="shared" ref="O3:O9" si="7">SQRT(4*H3*H3*J3*J3*D3*10^-9*D3*10^-9+4*H3*H3*C3*10^-9*C3*10^-9*K3*K3+4*J3*J3*C3*10^-9*C3*10^-9*I3*I3)</f>
        <v>3.2901806221953024E-3</v>
      </c>
      <c r="P3" s="9">
        <f t="shared" ref="P3:P9" si="8">L3</f>
        <v>0.35</v>
      </c>
      <c r="Q3" s="9">
        <f t="shared" ref="Q3:Q9" si="9">M3</f>
        <v>0.13228756555322954</v>
      </c>
    </row>
    <row r="4" spans="1:17" ht="15.6" x14ac:dyDescent="0.3">
      <c r="A4" s="5">
        <v>20</v>
      </c>
      <c r="B4" s="5">
        <v>875</v>
      </c>
      <c r="C4" s="8">
        <f>8.6*100</f>
        <v>860</v>
      </c>
      <c r="D4" s="9">
        <f>0.1*100</f>
        <v>10</v>
      </c>
      <c r="E4" s="8">
        <v>6473</v>
      </c>
      <c r="F4" s="9">
        <v>6460</v>
      </c>
      <c r="G4" s="8">
        <v>7</v>
      </c>
      <c r="H4" s="9">
        <f t="shared" si="0"/>
        <v>323.64999999999998</v>
      </c>
      <c r="I4" s="9">
        <f t="shared" si="1"/>
        <v>4.022747817102136</v>
      </c>
      <c r="J4" s="9">
        <f t="shared" si="2"/>
        <v>323</v>
      </c>
      <c r="K4" s="9">
        <f t="shared" si="3"/>
        <v>4.0187062594820242</v>
      </c>
      <c r="L4" s="9">
        <f t="shared" si="4"/>
        <v>0.35</v>
      </c>
      <c r="M4" s="9">
        <f t="shared" si="5"/>
        <v>0.13228756555322954</v>
      </c>
      <c r="N4" s="9">
        <f t="shared" si="6"/>
        <v>0.179806994</v>
      </c>
      <c r="O4" s="9">
        <f t="shared" si="7"/>
        <v>3.7908792379169245E-3</v>
      </c>
      <c r="P4" s="9">
        <f t="shared" si="8"/>
        <v>0.35</v>
      </c>
      <c r="Q4" s="9">
        <f t="shared" si="9"/>
        <v>0.13228756555322954</v>
      </c>
    </row>
    <row r="5" spans="1:17" ht="15.6" x14ac:dyDescent="0.3">
      <c r="A5" s="5">
        <v>20</v>
      </c>
      <c r="B5" s="5">
        <v>1000</v>
      </c>
      <c r="C5" s="8">
        <f>0.8789*B5+6.6071</f>
        <v>885.50709999999992</v>
      </c>
      <c r="D5" s="9">
        <f>SQRT(0.003*B5*B5+0.7719*0+5.7336)</f>
        <v>54.824571133753523</v>
      </c>
      <c r="E5" s="8">
        <v>6499</v>
      </c>
      <c r="F5" s="9">
        <v>6436</v>
      </c>
      <c r="G5" s="8">
        <v>8</v>
      </c>
      <c r="H5" s="9">
        <f t="shared" si="0"/>
        <v>324.95</v>
      </c>
      <c r="I5" s="9">
        <f t="shared" si="1"/>
        <v>4.0308187753854678</v>
      </c>
      <c r="J5" s="9">
        <f t="shared" si="2"/>
        <v>321.8</v>
      </c>
      <c r="K5" s="9">
        <f t="shared" si="3"/>
        <v>4.0112342240263157</v>
      </c>
      <c r="L5" s="9">
        <f t="shared" si="4"/>
        <v>0.4</v>
      </c>
      <c r="M5" s="9">
        <f t="shared" si="5"/>
        <v>0.1414213562373095</v>
      </c>
      <c r="N5" s="9">
        <f t="shared" si="6"/>
        <v>0.18519302448852201</v>
      </c>
      <c r="O5" s="9">
        <f t="shared" si="7"/>
        <v>1.1919425295200292E-2</v>
      </c>
      <c r="P5" s="9">
        <f t="shared" si="8"/>
        <v>0.4</v>
      </c>
      <c r="Q5" s="9">
        <f t="shared" si="9"/>
        <v>0.1414213562373095</v>
      </c>
    </row>
    <row r="6" spans="1:17" ht="15.6" x14ac:dyDescent="0.3">
      <c r="A6" s="5">
        <v>20</v>
      </c>
      <c r="B6" s="5">
        <v>1250</v>
      </c>
      <c r="C6" s="8">
        <f>4.4*250</f>
        <v>1100</v>
      </c>
      <c r="D6" s="9">
        <f>0.1*250</f>
        <v>25</v>
      </c>
      <c r="E6" s="8">
        <v>6488</v>
      </c>
      <c r="F6" s="9">
        <v>6249</v>
      </c>
      <c r="G6" s="8">
        <v>9</v>
      </c>
      <c r="H6" s="9">
        <f t="shared" si="0"/>
        <v>324.39999999999998</v>
      </c>
      <c r="I6" s="9">
        <f t="shared" si="1"/>
        <v>4.0274061131204535</v>
      </c>
      <c r="J6" s="9">
        <f t="shared" si="2"/>
        <v>312.45</v>
      </c>
      <c r="K6" s="9">
        <f t="shared" si="3"/>
        <v>3.9525308347943344</v>
      </c>
      <c r="L6" s="9">
        <f t="shared" si="4"/>
        <v>0.45</v>
      </c>
      <c r="M6" s="9">
        <f t="shared" si="5"/>
        <v>0.15</v>
      </c>
      <c r="N6" s="9">
        <f t="shared" si="6"/>
        <v>0.22298931599999999</v>
      </c>
      <c r="O6" s="9">
        <f t="shared" si="7"/>
        <v>6.4269112142713624E-3</v>
      </c>
      <c r="P6" s="9">
        <f t="shared" si="8"/>
        <v>0.45</v>
      </c>
      <c r="Q6" s="9">
        <f t="shared" si="9"/>
        <v>0.15</v>
      </c>
    </row>
    <row r="7" spans="1:17" ht="15.6" x14ac:dyDescent="0.3">
      <c r="A7" s="5">
        <v>20</v>
      </c>
      <c r="B7" s="5">
        <v>2500</v>
      </c>
      <c r="C7" s="8">
        <f>0.8789*B7+6.6071</f>
        <v>2203.8571000000002</v>
      </c>
      <c r="D7" s="9">
        <f>SQRT(0.003*B7*B7+0.7719*0+5.7336)</f>
        <v>136.9515739230477</v>
      </c>
      <c r="E7" s="8">
        <v>6631</v>
      </c>
      <c r="F7" s="9">
        <v>6695</v>
      </c>
      <c r="G7" s="8">
        <v>11</v>
      </c>
      <c r="H7" s="9">
        <f t="shared" si="0"/>
        <v>331.55</v>
      </c>
      <c r="I7" s="9">
        <f t="shared" si="1"/>
        <v>4.0715476173072078</v>
      </c>
      <c r="J7" s="9">
        <f t="shared" si="2"/>
        <v>334.75</v>
      </c>
      <c r="K7" s="9">
        <f t="shared" si="3"/>
        <v>4.0911489828653274</v>
      </c>
      <c r="L7" s="9">
        <f t="shared" si="4"/>
        <v>0.55000000000000004</v>
      </c>
      <c r="M7" s="9">
        <f t="shared" si="5"/>
        <v>0.16583123951776998</v>
      </c>
      <c r="N7" s="9">
        <f t="shared" si="6"/>
        <v>0.48919616599759763</v>
      </c>
      <c r="O7" s="9">
        <f t="shared" si="7"/>
        <v>3.1558920874949194E-2</v>
      </c>
      <c r="P7" s="9">
        <f t="shared" si="8"/>
        <v>0.55000000000000004</v>
      </c>
      <c r="Q7" s="9">
        <f t="shared" si="9"/>
        <v>0.16583123951776998</v>
      </c>
    </row>
    <row r="8" spans="1:17" ht="15.6" x14ac:dyDescent="0.3">
      <c r="A8" s="5">
        <v>20</v>
      </c>
      <c r="B8" s="5">
        <v>3750</v>
      </c>
      <c r="C8" s="8">
        <f>0.8789*B8+6.6071</f>
        <v>3302.4821000000002</v>
      </c>
      <c r="D8" s="9">
        <f>SQRT(0.003*B8*B8+0.7719*0+5.7336)</f>
        <v>205.40991602159815</v>
      </c>
      <c r="E8" s="8">
        <v>6493</v>
      </c>
      <c r="F8" s="9">
        <v>6446</v>
      </c>
      <c r="G8" s="8">
        <v>21</v>
      </c>
      <c r="H8" s="9">
        <f t="shared" si="0"/>
        <v>324.64999999999998</v>
      </c>
      <c r="I8" s="9">
        <f t="shared" si="1"/>
        <v>4.0289576815846555</v>
      </c>
      <c r="J8" s="9">
        <f t="shared" si="2"/>
        <v>322.3</v>
      </c>
      <c r="K8" s="9">
        <f t="shared" si="3"/>
        <v>4.01434926233381</v>
      </c>
      <c r="L8" s="9">
        <f t="shared" si="4"/>
        <v>1.05</v>
      </c>
      <c r="M8" s="9">
        <f t="shared" si="5"/>
        <v>0.229128784747792</v>
      </c>
      <c r="N8" s="9">
        <f t="shared" si="6"/>
        <v>0.69110841455291905</v>
      </c>
      <c r="O8" s="9">
        <f t="shared" si="7"/>
        <v>4.467051601355182E-2</v>
      </c>
      <c r="P8" s="9">
        <f t="shared" si="8"/>
        <v>1.05</v>
      </c>
      <c r="Q8" s="9">
        <f t="shared" si="9"/>
        <v>0.229128784747792</v>
      </c>
    </row>
    <row r="9" spans="1:17" ht="15.6" x14ac:dyDescent="0.3">
      <c r="A9" s="5">
        <v>20</v>
      </c>
      <c r="B9" s="5">
        <v>5000</v>
      </c>
      <c r="C9" s="8">
        <f>0.8789*B9+6.6071</f>
        <v>4401.1071000000002</v>
      </c>
      <c r="D9" s="9">
        <f>SQRT(0.003*B9*B9+0.7719*0+5.7336)</f>
        <v>273.87174662604394</v>
      </c>
      <c r="E9" s="8">
        <v>6409</v>
      </c>
      <c r="F9" s="9">
        <v>6564</v>
      </c>
      <c r="G9" s="8">
        <v>30</v>
      </c>
      <c r="H9" s="9">
        <f t="shared" si="0"/>
        <v>320.45</v>
      </c>
      <c r="I9" s="9">
        <f t="shared" si="1"/>
        <v>4.0028115119250867</v>
      </c>
      <c r="J9" s="9">
        <f t="shared" si="2"/>
        <v>328.2</v>
      </c>
      <c r="K9" s="9">
        <f t="shared" si="3"/>
        <v>4.0509258201058191</v>
      </c>
      <c r="L9" s="9">
        <f t="shared" si="4"/>
        <v>1.5</v>
      </c>
      <c r="M9" s="9">
        <f t="shared" si="5"/>
        <v>0.27386127875258304</v>
      </c>
      <c r="N9" s="9">
        <f t="shared" si="6"/>
        <v>0.92574374315599794</v>
      </c>
      <c r="O9" s="9">
        <f t="shared" si="7"/>
        <v>5.9856981972679336E-2</v>
      </c>
      <c r="P9" s="9">
        <f t="shared" si="8"/>
        <v>1.5</v>
      </c>
      <c r="Q9" s="9">
        <f t="shared" si="9"/>
        <v>0.27386127875258304</v>
      </c>
    </row>
    <row r="10" spans="1:17" ht="15.6" x14ac:dyDescent="0.3">
      <c r="B10" s="5"/>
      <c r="C10" s="8"/>
      <c r="D10" s="9"/>
    </row>
    <row r="18" spans="3:4" x14ac:dyDescent="0.3">
      <c r="C18" s="10"/>
      <c r="D18" s="10"/>
    </row>
    <row r="19" spans="3:4" x14ac:dyDescent="0.3">
      <c r="C19" s="10"/>
      <c r="D19" s="10"/>
    </row>
    <row r="20" spans="3:4" x14ac:dyDescent="0.3">
      <c r="C20" s="10"/>
      <c r="D20" s="10"/>
    </row>
    <row r="21" spans="3:4" x14ac:dyDescent="0.3">
      <c r="C21" s="10"/>
      <c r="D21" s="10"/>
    </row>
    <row r="22" spans="3:4" x14ac:dyDescent="0.3">
      <c r="C22" s="10"/>
      <c r="D22" s="10"/>
    </row>
    <row r="23" spans="3:4" x14ac:dyDescent="0.3">
      <c r="C23" s="10"/>
      <c r="D23" s="10"/>
    </row>
    <row r="24" spans="3:4" x14ac:dyDescent="0.3">
      <c r="C24" s="10"/>
      <c r="D24" s="10"/>
    </row>
    <row r="25" spans="3:4" x14ac:dyDescent="0.3">
      <c r="C25" s="10"/>
      <c r="D25" s="10"/>
    </row>
    <row r="26" spans="3:4" x14ac:dyDescent="0.3">
      <c r="C26" s="10"/>
      <c r="D2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DC3D-7AF9-444F-97BB-C9CA7E99B6D9}">
  <dimension ref="A1:K83"/>
  <sheetViews>
    <sheetView tabSelected="1" workbookViewId="0">
      <selection activeCell="C73" sqref="C73"/>
    </sheetView>
  </sheetViews>
  <sheetFormatPr defaultRowHeight="14.4" x14ac:dyDescent="0.3"/>
  <cols>
    <col min="1" max="1" width="15.88671875" customWidth="1"/>
    <col min="2" max="2" width="14.21875" customWidth="1"/>
    <col min="3" max="3" width="19.33203125" customWidth="1"/>
    <col min="4" max="4" width="23.77734375" customWidth="1"/>
    <col min="5" max="5" width="23.5546875" customWidth="1"/>
    <col min="6" max="6" width="22.88671875" customWidth="1"/>
    <col min="7" max="7" width="20.5546875" customWidth="1"/>
    <col min="8" max="8" width="13.21875" customWidth="1"/>
    <col min="9" max="9" width="13.77734375" customWidth="1"/>
    <col min="10" max="10" width="10.44140625" customWidth="1"/>
    <col min="11" max="11" width="12.6640625" customWidth="1"/>
  </cols>
  <sheetData>
    <row r="1" spans="1:11" x14ac:dyDescent="0.3">
      <c r="A1" s="1" t="s">
        <v>28</v>
      </c>
      <c r="B1" s="1" t="s">
        <v>24</v>
      </c>
      <c r="C1" s="1" t="s">
        <v>0</v>
      </c>
      <c r="D1" s="2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26</v>
      </c>
      <c r="K1" s="1" t="s">
        <v>27</v>
      </c>
    </row>
    <row r="2" spans="1:11" x14ac:dyDescent="0.3">
      <c r="A2" s="11">
        <v>-3</v>
      </c>
      <c r="B2" s="11">
        <f>A2*2.54*0.5</f>
        <v>-3.81</v>
      </c>
      <c r="C2" s="11">
        <v>60</v>
      </c>
      <c r="D2" s="11">
        <v>-50</v>
      </c>
      <c r="E2" s="11">
        <v>18613</v>
      </c>
      <c r="F2" s="11">
        <v>27528</v>
      </c>
      <c r="G2" s="11">
        <v>22</v>
      </c>
      <c r="H2" s="11">
        <f>G2/C2</f>
        <v>0.36666666666666664</v>
      </c>
      <c r="I2" s="11">
        <f>SQRT(G2)/C2</f>
        <v>7.8173595997057158E-2</v>
      </c>
      <c r="J2" s="11">
        <f>H2-0.1689</f>
        <v>0.19776666666666665</v>
      </c>
      <c r="K2" s="11">
        <f>SQRT(I2^2+0.0447^2)</f>
        <v>9.0051102775652397E-2</v>
      </c>
    </row>
    <row r="3" spans="1:11" x14ac:dyDescent="0.3">
      <c r="A3" s="11">
        <v>-3</v>
      </c>
      <c r="B3" s="11">
        <f t="shared" ref="B3:B33" si="0">A3*2.54*0.5</f>
        <v>-3.81</v>
      </c>
      <c r="C3" s="11">
        <v>60</v>
      </c>
      <c r="D3" s="11">
        <v>-45</v>
      </c>
      <c r="E3" s="11">
        <v>18334</v>
      </c>
      <c r="F3" s="11">
        <v>26714</v>
      </c>
      <c r="G3" s="11">
        <v>53</v>
      </c>
      <c r="H3" s="11">
        <f t="shared" ref="H3:H57" si="1">G3/C3</f>
        <v>0.8833333333333333</v>
      </c>
      <c r="I3" s="11">
        <f t="shared" ref="I3:I65" si="2">SQRT(G3)/C3</f>
        <v>0.12133516482134196</v>
      </c>
      <c r="J3" s="11">
        <f t="shared" ref="J3:J65" si="3">H3-0.1689</f>
        <v>0.71443333333333325</v>
      </c>
      <c r="K3" s="11">
        <f t="shared" ref="K3:K65" si="4">SQRT(I3^2+0.0447^2)</f>
        <v>0.12930704629764853</v>
      </c>
    </row>
    <row r="4" spans="1:11" x14ac:dyDescent="0.3">
      <c r="A4" s="11">
        <v>-3</v>
      </c>
      <c r="B4" s="11">
        <f t="shared" si="0"/>
        <v>-3.81</v>
      </c>
      <c r="C4" s="11">
        <v>60</v>
      </c>
      <c r="D4" s="11">
        <v>-40</v>
      </c>
      <c r="E4" s="11">
        <v>18725</v>
      </c>
      <c r="F4" s="11">
        <v>25151</v>
      </c>
      <c r="G4" s="11">
        <v>413</v>
      </c>
      <c r="H4" s="11">
        <f t="shared" si="1"/>
        <v>6.8833333333333337</v>
      </c>
      <c r="I4" s="11">
        <f t="shared" si="2"/>
        <v>0.33870669054835961</v>
      </c>
      <c r="J4" s="11">
        <f t="shared" si="3"/>
        <v>6.7144333333333339</v>
      </c>
      <c r="K4" s="11">
        <f t="shared" si="4"/>
        <v>0.341643545559143</v>
      </c>
    </row>
    <row r="5" spans="1:11" x14ac:dyDescent="0.3">
      <c r="A5" s="11">
        <v>-3</v>
      </c>
      <c r="B5" s="11">
        <f t="shared" si="0"/>
        <v>-3.81</v>
      </c>
      <c r="C5" s="11">
        <v>60</v>
      </c>
      <c r="D5" s="11">
        <v>-35</v>
      </c>
      <c r="E5" s="11">
        <v>18540</v>
      </c>
      <c r="F5" s="11">
        <v>24368</v>
      </c>
      <c r="G5" s="11">
        <v>1881</v>
      </c>
      <c r="H5" s="11">
        <f t="shared" si="1"/>
        <v>31.35</v>
      </c>
      <c r="I5" s="11">
        <f t="shared" si="2"/>
        <v>0.72284161474004804</v>
      </c>
      <c r="J5" s="11">
        <f t="shared" si="3"/>
        <v>31.181100000000001</v>
      </c>
      <c r="K5" s="11">
        <f t="shared" si="4"/>
        <v>0.72422240368549773</v>
      </c>
    </row>
    <row r="6" spans="1:11" x14ac:dyDescent="0.3">
      <c r="A6" s="11">
        <v>-3</v>
      </c>
      <c r="B6" s="11">
        <f t="shared" si="0"/>
        <v>-3.81</v>
      </c>
      <c r="C6" s="11">
        <v>60</v>
      </c>
      <c r="D6" s="11">
        <v>-30</v>
      </c>
      <c r="E6" s="11">
        <v>18529</v>
      </c>
      <c r="F6" s="11">
        <v>23663</v>
      </c>
      <c r="G6" s="11">
        <v>4517</v>
      </c>
      <c r="H6" s="11">
        <f t="shared" si="1"/>
        <v>75.283333333333331</v>
      </c>
      <c r="I6" s="11">
        <f t="shared" si="2"/>
        <v>1.1201438399697703</v>
      </c>
      <c r="J6" s="11">
        <f t="shared" si="3"/>
        <v>75.114433333333338</v>
      </c>
      <c r="K6" s="11">
        <f t="shared" si="4"/>
        <v>1.1210353750984945</v>
      </c>
    </row>
    <row r="7" spans="1:11" x14ac:dyDescent="0.3">
      <c r="A7" s="11">
        <v>-3</v>
      </c>
      <c r="B7" s="11">
        <f t="shared" si="0"/>
        <v>-3.81</v>
      </c>
      <c r="C7" s="11">
        <v>60</v>
      </c>
      <c r="D7" s="11">
        <v>-25</v>
      </c>
      <c r="E7" s="11">
        <v>18700</v>
      </c>
      <c r="F7" s="11">
        <v>22459</v>
      </c>
      <c r="G7" s="11">
        <v>6328</v>
      </c>
      <c r="H7" s="11">
        <f t="shared" si="1"/>
        <v>105.46666666666667</v>
      </c>
      <c r="I7" s="11">
        <f t="shared" si="2"/>
        <v>1.3258121200900894</v>
      </c>
      <c r="J7" s="11">
        <f t="shared" si="3"/>
        <v>105.29776666666667</v>
      </c>
      <c r="K7" s="11">
        <f t="shared" si="4"/>
        <v>1.3265654404430178</v>
      </c>
    </row>
    <row r="8" spans="1:11" x14ac:dyDescent="0.3">
      <c r="A8" s="11">
        <v>-3</v>
      </c>
      <c r="B8" s="11">
        <f t="shared" si="0"/>
        <v>-3.81</v>
      </c>
      <c r="C8" s="11">
        <v>60</v>
      </c>
      <c r="D8" s="11">
        <v>-20</v>
      </c>
      <c r="E8" s="11">
        <v>18626</v>
      </c>
      <c r="F8" s="11">
        <v>21951</v>
      </c>
      <c r="G8" s="11">
        <v>4380</v>
      </c>
      <c r="H8" s="11">
        <f t="shared" si="1"/>
        <v>73</v>
      </c>
      <c r="I8" s="11">
        <f t="shared" si="2"/>
        <v>1.1030261405182864</v>
      </c>
      <c r="J8" s="11">
        <f t="shared" si="3"/>
        <v>72.831100000000006</v>
      </c>
      <c r="K8" s="11">
        <f t="shared" si="4"/>
        <v>1.1039314999884127</v>
      </c>
    </row>
    <row r="9" spans="1:11" x14ac:dyDescent="0.3">
      <c r="A9" s="11">
        <v>-3</v>
      </c>
      <c r="B9" s="11">
        <f t="shared" si="0"/>
        <v>-3.81</v>
      </c>
      <c r="C9" s="11">
        <v>60</v>
      </c>
      <c r="D9" s="11">
        <v>-15</v>
      </c>
      <c r="E9" s="11">
        <v>18677</v>
      </c>
      <c r="F9" s="11">
        <v>20780</v>
      </c>
      <c r="G9" s="11">
        <v>1573</v>
      </c>
      <c r="H9" s="11">
        <f t="shared" si="1"/>
        <v>26.216666666666665</v>
      </c>
      <c r="I9" s="11">
        <f t="shared" si="2"/>
        <v>0.66101773383506468</v>
      </c>
      <c r="J9" s="11">
        <f t="shared" si="3"/>
        <v>26.047766666666664</v>
      </c>
      <c r="K9" s="11">
        <f t="shared" si="4"/>
        <v>0.66252738392042665</v>
      </c>
    </row>
    <row r="10" spans="1:11" x14ac:dyDescent="0.3">
      <c r="A10" s="11">
        <v>-3</v>
      </c>
      <c r="B10" s="11">
        <f t="shared" si="0"/>
        <v>-3.81</v>
      </c>
      <c r="C10" s="11">
        <v>60</v>
      </c>
      <c r="D10" s="11">
        <v>-10</v>
      </c>
      <c r="E10" s="11">
        <v>18961</v>
      </c>
      <c r="F10" s="11">
        <v>20369</v>
      </c>
      <c r="G10" s="11">
        <v>92</v>
      </c>
      <c r="H10" s="11">
        <f t="shared" si="1"/>
        <v>1.5333333333333334</v>
      </c>
      <c r="I10" s="11">
        <f t="shared" si="2"/>
        <v>0.15986105077709065</v>
      </c>
      <c r="J10" s="11">
        <f t="shared" si="3"/>
        <v>1.3644333333333334</v>
      </c>
      <c r="K10" s="11">
        <f t="shared" si="4"/>
        <v>0.16599290814837708</v>
      </c>
    </row>
    <row r="11" spans="1:11" x14ac:dyDescent="0.3">
      <c r="A11" s="11">
        <v>-3</v>
      </c>
      <c r="B11" s="11">
        <f t="shared" si="0"/>
        <v>-3.81</v>
      </c>
      <c r="C11" s="11">
        <v>60</v>
      </c>
      <c r="D11" s="11">
        <v>-5</v>
      </c>
      <c r="E11" s="11">
        <v>18679</v>
      </c>
      <c r="F11" s="11">
        <v>19345</v>
      </c>
      <c r="G11" s="11">
        <v>36</v>
      </c>
      <c r="H11" s="11">
        <f t="shared" si="1"/>
        <v>0.6</v>
      </c>
      <c r="I11" s="11">
        <f t="shared" si="2"/>
        <v>0.1</v>
      </c>
      <c r="J11" s="11">
        <f t="shared" si="3"/>
        <v>0.43109999999999998</v>
      </c>
      <c r="K11" s="11">
        <f t="shared" si="4"/>
        <v>0.10953579323673153</v>
      </c>
    </row>
    <row r="12" spans="1:11" x14ac:dyDescent="0.3">
      <c r="A12" s="11">
        <v>-3</v>
      </c>
      <c r="B12" s="11">
        <f t="shared" si="0"/>
        <v>-3.81</v>
      </c>
      <c r="C12" s="11">
        <v>60</v>
      </c>
      <c r="D12" s="11">
        <v>0</v>
      </c>
      <c r="E12" s="11">
        <v>18569</v>
      </c>
      <c r="F12" s="11">
        <v>18488</v>
      </c>
      <c r="G12" s="11">
        <v>17</v>
      </c>
      <c r="H12" s="11">
        <f t="shared" si="1"/>
        <v>0.28333333333333333</v>
      </c>
      <c r="I12" s="11">
        <f t="shared" si="2"/>
        <v>6.8718427093627674E-2</v>
      </c>
      <c r="J12" s="11">
        <f t="shared" si="3"/>
        <v>0.11443333333333333</v>
      </c>
      <c r="K12" s="11">
        <f t="shared" si="4"/>
        <v>8.1977510466116385E-2</v>
      </c>
    </row>
    <row r="13" spans="1:11" x14ac:dyDescent="0.3">
      <c r="A13" s="11">
        <v>-3</v>
      </c>
      <c r="B13" s="11">
        <f t="shared" si="0"/>
        <v>-3.81</v>
      </c>
      <c r="C13" s="11">
        <v>60</v>
      </c>
      <c r="D13" s="11">
        <v>5</v>
      </c>
      <c r="E13" s="11">
        <v>18642</v>
      </c>
      <c r="F13" s="11">
        <v>17442</v>
      </c>
      <c r="G13" s="11">
        <v>18</v>
      </c>
      <c r="H13" s="11">
        <f t="shared" si="1"/>
        <v>0.3</v>
      </c>
      <c r="I13" s="11">
        <f t="shared" si="2"/>
        <v>7.0710678118654752E-2</v>
      </c>
      <c r="J13" s="11">
        <f t="shared" si="3"/>
        <v>0.13109999999999999</v>
      </c>
      <c r="K13" s="11">
        <f t="shared" si="4"/>
        <v>8.3654587441454764E-2</v>
      </c>
    </row>
    <row r="14" spans="1:11" x14ac:dyDescent="0.3">
      <c r="A14" s="12">
        <v>-2</v>
      </c>
      <c r="B14" s="12">
        <f>A14*2.54*0.5</f>
        <v>-2.54</v>
      </c>
      <c r="C14" s="12">
        <v>60</v>
      </c>
      <c r="D14" s="12">
        <v>-40</v>
      </c>
      <c r="E14" s="12">
        <v>19725</v>
      </c>
      <c r="F14" s="12">
        <v>23329</v>
      </c>
      <c r="G14" s="12">
        <v>40</v>
      </c>
      <c r="H14" s="12">
        <f t="shared" si="1"/>
        <v>0.66666666666666663</v>
      </c>
      <c r="I14" s="12">
        <f t="shared" si="2"/>
        <v>0.10540925533894599</v>
      </c>
      <c r="J14" s="12">
        <f t="shared" si="3"/>
        <v>0.49776666666666664</v>
      </c>
      <c r="K14" s="12">
        <f t="shared" si="4"/>
        <v>0.11449541960755946</v>
      </c>
    </row>
    <row r="15" spans="1:11" x14ac:dyDescent="0.3">
      <c r="A15" s="12">
        <v>-2</v>
      </c>
      <c r="B15" s="12">
        <f t="shared" si="0"/>
        <v>-2.54</v>
      </c>
      <c r="C15" s="12">
        <v>60</v>
      </c>
      <c r="D15" s="12">
        <v>-35</v>
      </c>
      <c r="E15" s="12">
        <v>19167</v>
      </c>
      <c r="F15" s="12">
        <v>22731</v>
      </c>
      <c r="G15" s="12">
        <v>62</v>
      </c>
      <c r="H15" s="12">
        <f t="shared" si="1"/>
        <v>1.0333333333333334</v>
      </c>
      <c r="I15" s="12">
        <f t="shared" si="2"/>
        <v>0.13123346456686352</v>
      </c>
      <c r="J15" s="12">
        <f t="shared" si="3"/>
        <v>0.86443333333333339</v>
      </c>
      <c r="K15" s="12">
        <f t="shared" si="4"/>
        <v>0.13863734064898325</v>
      </c>
    </row>
    <row r="16" spans="1:11" x14ac:dyDescent="0.3">
      <c r="A16" s="12">
        <v>-2</v>
      </c>
      <c r="B16" s="12">
        <f t="shared" si="0"/>
        <v>-2.54</v>
      </c>
      <c r="C16" s="12">
        <v>60</v>
      </c>
      <c r="D16" s="12">
        <v>-30</v>
      </c>
      <c r="E16" s="12">
        <v>19331</v>
      </c>
      <c r="F16" s="12">
        <v>22134</v>
      </c>
      <c r="G16" s="12">
        <v>667</v>
      </c>
      <c r="H16" s="12">
        <f t="shared" si="1"/>
        <v>11.116666666666667</v>
      </c>
      <c r="I16" s="12">
        <f t="shared" si="2"/>
        <v>0.43043905233816526</v>
      </c>
      <c r="J16" s="12">
        <f t="shared" si="3"/>
        <v>10.947766666666666</v>
      </c>
      <c r="K16" s="12">
        <f t="shared" si="4"/>
        <v>0.43275381890605863</v>
      </c>
    </row>
    <row r="17" spans="1:11" x14ac:dyDescent="0.3">
      <c r="A17" s="12">
        <v>-2</v>
      </c>
      <c r="B17" s="12">
        <f t="shared" si="0"/>
        <v>-2.54</v>
      </c>
      <c r="C17" s="12">
        <v>30</v>
      </c>
      <c r="D17" s="12">
        <v>-25</v>
      </c>
      <c r="E17" s="12">
        <v>9518</v>
      </c>
      <c r="F17" s="12">
        <v>10587</v>
      </c>
      <c r="G17" s="12">
        <v>1394</v>
      </c>
      <c r="H17" s="12">
        <f t="shared" si="1"/>
        <v>46.466666666666669</v>
      </c>
      <c r="I17" s="12">
        <f t="shared" si="2"/>
        <v>1.2445436468396314</v>
      </c>
      <c r="J17" s="12">
        <f t="shared" si="3"/>
        <v>46.297766666666668</v>
      </c>
      <c r="K17" s="12">
        <f t="shared" si="4"/>
        <v>1.2453461281462632</v>
      </c>
    </row>
    <row r="18" spans="1:11" x14ac:dyDescent="0.3">
      <c r="A18" s="12">
        <v>-2</v>
      </c>
      <c r="B18" s="12">
        <f t="shared" si="0"/>
        <v>-2.54</v>
      </c>
      <c r="C18" s="12">
        <v>30</v>
      </c>
      <c r="D18" s="12">
        <v>-20</v>
      </c>
      <c r="E18" s="12">
        <v>9575</v>
      </c>
      <c r="F18" s="12">
        <v>10565</v>
      </c>
      <c r="G18" s="12">
        <v>2734</v>
      </c>
      <c r="H18" s="12">
        <f t="shared" si="1"/>
        <v>91.13333333333334</v>
      </c>
      <c r="I18" s="12">
        <f t="shared" si="2"/>
        <v>1.7429221949868496</v>
      </c>
      <c r="J18" s="12">
        <f t="shared" si="3"/>
        <v>90.964433333333346</v>
      </c>
      <c r="K18" s="12">
        <f t="shared" si="4"/>
        <v>1.7434953019087198</v>
      </c>
    </row>
    <row r="19" spans="1:11" x14ac:dyDescent="0.3">
      <c r="A19" s="12">
        <v>-2</v>
      </c>
      <c r="B19" s="12">
        <f t="shared" si="0"/>
        <v>-2.54</v>
      </c>
      <c r="C19" s="12">
        <v>30</v>
      </c>
      <c r="D19" s="12">
        <v>-15</v>
      </c>
      <c r="E19" s="12">
        <v>9677</v>
      </c>
      <c r="F19" s="12">
        <v>10350</v>
      </c>
      <c r="G19" s="12">
        <v>2911</v>
      </c>
      <c r="H19" s="12">
        <f t="shared" si="1"/>
        <v>97.033333333333331</v>
      </c>
      <c r="I19" s="12">
        <f t="shared" si="2"/>
        <v>1.798456128028828</v>
      </c>
      <c r="J19" s="12">
        <f t="shared" si="3"/>
        <v>96.864433333333338</v>
      </c>
      <c r="K19" s="12">
        <f t="shared" si="4"/>
        <v>1.7990115437218417</v>
      </c>
    </row>
    <row r="20" spans="1:11" x14ac:dyDescent="0.3">
      <c r="A20" s="12">
        <v>-2</v>
      </c>
      <c r="B20" s="12">
        <f t="shared" si="0"/>
        <v>-2.54</v>
      </c>
      <c r="C20" s="12">
        <v>30</v>
      </c>
      <c r="D20" s="12">
        <v>-10</v>
      </c>
      <c r="E20" s="12">
        <v>9530</v>
      </c>
      <c r="F20" s="12">
        <v>9937</v>
      </c>
      <c r="G20" s="12">
        <v>1516</v>
      </c>
      <c r="H20" s="12">
        <f t="shared" si="1"/>
        <v>50.533333333333331</v>
      </c>
      <c r="I20" s="12">
        <f t="shared" si="2"/>
        <v>1.2978614889287856</v>
      </c>
      <c r="J20" s="12">
        <f t="shared" si="3"/>
        <v>50.364433333333331</v>
      </c>
      <c r="K20" s="12">
        <f t="shared" si="4"/>
        <v>1.2986310232103822</v>
      </c>
    </row>
    <row r="21" spans="1:11" x14ac:dyDescent="0.3">
      <c r="A21" s="12">
        <v>-2</v>
      </c>
      <c r="B21" s="12">
        <f t="shared" si="0"/>
        <v>-2.54</v>
      </c>
      <c r="C21" s="12">
        <v>30</v>
      </c>
      <c r="D21" s="12">
        <v>-5</v>
      </c>
      <c r="E21" s="12">
        <v>9555</v>
      </c>
      <c r="F21" s="12">
        <v>9736</v>
      </c>
      <c r="G21" s="12">
        <v>305</v>
      </c>
      <c r="H21" s="12">
        <f t="shared" si="1"/>
        <v>10.166666666666666</v>
      </c>
      <c r="I21" s="12">
        <f t="shared" si="2"/>
        <v>0.58214163988576595</v>
      </c>
      <c r="J21" s="12">
        <f t="shared" si="3"/>
        <v>9.9977666666666654</v>
      </c>
      <c r="K21" s="12">
        <f t="shared" si="4"/>
        <v>0.58385527221126365</v>
      </c>
    </row>
    <row r="22" spans="1:11" x14ac:dyDescent="0.3">
      <c r="A22" s="12">
        <v>-2</v>
      </c>
      <c r="B22" s="12">
        <f t="shared" si="0"/>
        <v>-2.54</v>
      </c>
      <c r="C22" s="12">
        <v>30</v>
      </c>
      <c r="D22" s="12">
        <v>0</v>
      </c>
      <c r="E22" s="12">
        <v>9775</v>
      </c>
      <c r="F22" s="12">
        <v>9356</v>
      </c>
      <c r="G22" s="12">
        <v>28</v>
      </c>
      <c r="H22" s="12">
        <f t="shared" si="1"/>
        <v>0.93333333333333335</v>
      </c>
      <c r="I22" s="12">
        <f t="shared" si="2"/>
        <v>0.17638342073763938</v>
      </c>
      <c r="J22" s="12">
        <f t="shared" si="3"/>
        <v>0.7644333333333333</v>
      </c>
      <c r="K22" s="12">
        <f t="shared" si="4"/>
        <v>0.1819593391698022</v>
      </c>
    </row>
    <row r="23" spans="1:11" x14ac:dyDescent="0.3">
      <c r="A23" s="12">
        <v>-2</v>
      </c>
      <c r="B23" s="12">
        <f t="shared" si="0"/>
        <v>-2.54</v>
      </c>
      <c r="C23" s="12">
        <v>30</v>
      </c>
      <c r="D23" s="12">
        <v>5</v>
      </c>
      <c r="E23" s="12">
        <v>9673</v>
      </c>
      <c r="F23" s="12">
        <v>9413</v>
      </c>
      <c r="G23" s="12">
        <v>18</v>
      </c>
      <c r="H23" s="12">
        <f t="shared" si="1"/>
        <v>0.6</v>
      </c>
      <c r="I23" s="12">
        <f t="shared" si="2"/>
        <v>0.1414213562373095</v>
      </c>
      <c r="J23" s="12">
        <f t="shared" si="3"/>
        <v>0.43109999999999998</v>
      </c>
      <c r="K23" s="12">
        <f t="shared" si="4"/>
        <v>0.14831753099347361</v>
      </c>
    </row>
    <row r="24" spans="1:11" x14ac:dyDescent="0.3">
      <c r="A24" s="4">
        <v>-1</v>
      </c>
      <c r="B24" s="4">
        <f>A24*2.54*0.5</f>
        <v>-1.27</v>
      </c>
      <c r="C24" s="4">
        <v>30</v>
      </c>
      <c r="D24" s="4">
        <v>-35</v>
      </c>
      <c r="E24" s="4">
        <v>9826</v>
      </c>
      <c r="F24" s="4">
        <v>10747</v>
      </c>
      <c r="G24" s="4">
        <v>19</v>
      </c>
      <c r="H24" s="4">
        <f t="shared" si="1"/>
        <v>0.6333333333333333</v>
      </c>
      <c r="I24" s="4">
        <f t="shared" si="2"/>
        <v>0.1452966314513558</v>
      </c>
      <c r="J24" s="4">
        <f t="shared" si="3"/>
        <v>0.46443333333333331</v>
      </c>
      <c r="K24" s="4">
        <f t="shared" si="4"/>
        <v>0.1520171079553585</v>
      </c>
    </row>
    <row r="25" spans="1:11" x14ac:dyDescent="0.3">
      <c r="A25" s="4">
        <v>-1</v>
      </c>
      <c r="B25" s="4">
        <f t="shared" si="0"/>
        <v>-1.27</v>
      </c>
      <c r="C25" s="4">
        <v>30</v>
      </c>
      <c r="D25" s="4">
        <v>-30</v>
      </c>
      <c r="E25" s="4">
        <v>9831</v>
      </c>
      <c r="F25" s="4">
        <v>10583</v>
      </c>
      <c r="G25" s="4">
        <v>21</v>
      </c>
      <c r="H25" s="4">
        <f t="shared" si="1"/>
        <v>0.7</v>
      </c>
      <c r="I25" s="4">
        <f t="shared" si="2"/>
        <v>0.15275252316519466</v>
      </c>
      <c r="J25" s="4">
        <f t="shared" si="3"/>
        <v>0.53109999999999991</v>
      </c>
      <c r="K25" s="4">
        <f t="shared" si="4"/>
        <v>0.1591584849555101</v>
      </c>
    </row>
    <row r="26" spans="1:11" x14ac:dyDescent="0.3">
      <c r="A26" s="4">
        <v>-1</v>
      </c>
      <c r="B26" s="4">
        <f t="shared" si="0"/>
        <v>-1.27</v>
      </c>
      <c r="C26" s="4">
        <v>30</v>
      </c>
      <c r="D26" s="4">
        <v>-25</v>
      </c>
      <c r="E26" s="4">
        <v>9767</v>
      </c>
      <c r="F26" s="4">
        <v>10691</v>
      </c>
      <c r="G26" s="4">
        <v>51</v>
      </c>
      <c r="H26" s="4">
        <f t="shared" si="1"/>
        <v>1.7</v>
      </c>
      <c r="I26" s="4">
        <f t="shared" si="2"/>
        <v>0.23804761428476168</v>
      </c>
      <c r="J26" s="4">
        <f t="shared" si="3"/>
        <v>1.5310999999999999</v>
      </c>
      <c r="K26" s="4">
        <f t="shared" si="4"/>
        <v>0.24220808546922348</v>
      </c>
    </row>
    <row r="27" spans="1:11" x14ac:dyDescent="0.3">
      <c r="A27" s="4">
        <v>-1</v>
      </c>
      <c r="B27" s="4">
        <f t="shared" si="0"/>
        <v>-1.27</v>
      </c>
      <c r="C27" s="4">
        <v>30</v>
      </c>
      <c r="D27" s="4">
        <v>-20</v>
      </c>
      <c r="E27" s="4">
        <v>9715</v>
      </c>
      <c r="F27" s="4">
        <v>10341</v>
      </c>
      <c r="G27" s="4">
        <v>649</v>
      </c>
      <c r="H27" s="4">
        <f t="shared" si="1"/>
        <v>21.633333333333333</v>
      </c>
      <c r="I27" s="4">
        <f t="shared" si="2"/>
        <v>0.84918261352379976</v>
      </c>
      <c r="J27" s="4">
        <f t="shared" si="3"/>
        <v>21.464433333333332</v>
      </c>
      <c r="K27" s="4">
        <f t="shared" si="4"/>
        <v>0.8503582780870137</v>
      </c>
    </row>
    <row r="28" spans="1:11" x14ac:dyDescent="0.3">
      <c r="A28" s="4">
        <v>-1</v>
      </c>
      <c r="B28" s="4">
        <f t="shared" si="0"/>
        <v>-1.27</v>
      </c>
      <c r="C28" s="4">
        <v>30</v>
      </c>
      <c r="D28" s="4">
        <v>-15</v>
      </c>
      <c r="E28" s="4">
        <v>9822</v>
      </c>
      <c r="F28" s="4">
        <v>10300</v>
      </c>
      <c r="G28" s="4">
        <v>1924</v>
      </c>
      <c r="H28" s="4">
        <f t="shared" si="1"/>
        <v>64.13333333333334</v>
      </c>
      <c r="I28" s="4">
        <f t="shared" si="2"/>
        <v>1.4621141466307539</v>
      </c>
      <c r="J28" s="4">
        <f t="shared" si="3"/>
        <v>63.964433333333339</v>
      </c>
      <c r="K28" s="4">
        <f t="shared" si="4"/>
        <v>1.4627972750103746</v>
      </c>
    </row>
    <row r="29" spans="1:11" x14ac:dyDescent="0.3">
      <c r="A29" s="4">
        <v>-1</v>
      </c>
      <c r="B29" s="4">
        <f t="shared" si="0"/>
        <v>-1.27</v>
      </c>
      <c r="C29" s="4">
        <v>30</v>
      </c>
      <c r="D29" s="4">
        <v>-10</v>
      </c>
      <c r="E29" s="4">
        <v>9829</v>
      </c>
      <c r="F29" s="4">
        <v>9843</v>
      </c>
      <c r="G29" s="4">
        <v>3123</v>
      </c>
      <c r="H29" s="4">
        <f t="shared" si="1"/>
        <v>104.1</v>
      </c>
      <c r="I29" s="4">
        <f t="shared" si="2"/>
        <v>1.8627936010197159</v>
      </c>
      <c r="J29" s="4">
        <f t="shared" si="3"/>
        <v>103.9311</v>
      </c>
      <c r="K29" s="4">
        <f t="shared" si="4"/>
        <v>1.8633298392930868</v>
      </c>
    </row>
    <row r="30" spans="1:11" x14ac:dyDescent="0.3">
      <c r="A30" s="4">
        <v>-1</v>
      </c>
      <c r="B30" s="4">
        <f t="shared" si="0"/>
        <v>-1.27</v>
      </c>
      <c r="C30" s="4">
        <v>30</v>
      </c>
      <c r="D30" s="4">
        <v>-5</v>
      </c>
      <c r="E30" s="4">
        <v>9774</v>
      </c>
      <c r="F30" s="4">
        <v>9978</v>
      </c>
      <c r="G30" s="4">
        <v>2397</v>
      </c>
      <c r="H30" s="4">
        <f t="shared" si="1"/>
        <v>79.900000000000006</v>
      </c>
      <c r="I30" s="4">
        <f t="shared" si="2"/>
        <v>1.6319722219858197</v>
      </c>
      <c r="J30" s="4">
        <f t="shared" si="3"/>
        <v>79.731100000000012</v>
      </c>
      <c r="K30" s="4">
        <f t="shared" si="4"/>
        <v>1.6325842775591506</v>
      </c>
    </row>
    <row r="31" spans="1:11" x14ac:dyDescent="0.3">
      <c r="A31" s="4">
        <v>-1</v>
      </c>
      <c r="B31" s="4">
        <f t="shared" si="0"/>
        <v>-1.27</v>
      </c>
      <c r="C31" s="4">
        <v>30</v>
      </c>
      <c r="D31" s="4">
        <v>0</v>
      </c>
      <c r="E31" s="4">
        <v>9682</v>
      </c>
      <c r="F31" s="4">
        <v>9868</v>
      </c>
      <c r="G31" s="4">
        <v>948</v>
      </c>
      <c r="H31" s="4">
        <f t="shared" si="1"/>
        <v>31.6</v>
      </c>
      <c r="I31" s="4">
        <f t="shared" si="2"/>
        <v>1.0263202878893769</v>
      </c>
      <c r="J31" s="4">
        <f t="shared" si="3"/>
        <v>31.431100000000001</v>
      </c>
      <c r="K31" s="4">
        <f t="shared" si="4"/>
        <v>1.0272932508944725</v>
      </c>
    </row>
    <row r="32" spans="1:11" x14ac:dyDescent="0.3">
      <c r="A32" s="4">
        <v>-1</v>
      </c>
      <c r="B32" s="4">
        <f t="shared" si="0"/>
        <v>-1.27</v>
      </c>
      <c r="C32" s="4">
        <v>30</v>
      </c>
      <c r="D32" s="4">
        <v>5</v>
      </c>
      <c r="E32" s="4">
        <v>9847</v>
      </c>
      <c r="F32" s="4">
        <v>9692</v>
      </c>
      <c r="G32" s="4">
        <v>121</v>
      </c>
      <c r="H32" s="4">
        <f t="shared" si="1"/>
        <v>4.0333333333333332</v>
      </c>
      <c r="I32" s="4">
        <f t="shared" si="2"/>
        <v>0.36666666666666664</v>
      </c>
      <c r="J32" s="4">
        <f t="shared" si="3"/>
        <v>3.8644333333333334</v>
      </c>
      <c r="K32" s="4">
        <f t="shared" si="4"/>
        <v>0.36938128599652209</v>
      </c>
    </row>
    <row r="33" spans="1:11" x14ac:dyDescent="0.3">
      <c r="A33" s="4">
        <v>-1</v>
      </c>
      <c r="B33" s="4">
        <f t="shared" si="0"/>
        <v>-1.27</v>
      </c>
      <c r="C33" s="4">
        <v>30</v>
      </c>
      <c r="D33" s="4">
        <v>10</v>
      </c>
      <c r="E33" s="4">
        <v>9693</v>
      </c>
      <c r="F33" s="4">
        <v>9669</v>
      </c>
      <c r="G33" s="4">
        <v>25</v>
      </c>
      <c r="H33" s="4">
        <f t="shared" si="1"/>
        <v>0.83333333333333337</v>
      </c>
      <c r="I33" s="4">
        <f t="shared" si="2"/>
        <v>0.16666666666666666</v>
      </c>
      <c r="J33" s="4">
        <f t="shared" si="3"/>
        <v>0.66443333333333343</v>
      </c>
      <c r="K33" s="4">
        <f t="shared" si="4"/>
        <v>0.17255685375486474</v>
      </c>
    </row>
    <row r="34" spans="1:11" x14ac:dyDescent="0.3">
      <c r="A34" s="13">
        <v>1</v>
      </c>
      <c r="B34" s="13">
        <f>A34*2.54*0.5</f>
        <v>1.27</v>
      </c>
      <c r="C34" s="13">
        <v>30</v>
      </c>
      <c r="D34" s="13">
        <v>-20</v>
      </c>
      <c r="E34" s="13">
        <v>9765</v>
      </c>
      <c r="F34" s="13">
        <v>9256</v>
      </c>
      <c r="G34" s="13">
        <v>17</v>
      </c>
      <c r="H34" s="13">
        <f t="shared" si="1"/>
        <v>0.56666666666666665</v>
      </c>
      <c r="I34" s="13">
        <f t="shared" si="2"/>
        <v>0.13743685418725535</v>
      </c>
      <c r="J34" s="13">
        <f t="shared" si="3"/>
        <v>0.39776666666666666</v>
      </c>
      <c r="K34" s="13">
        <f t="shared" si="4"/>
        <v>0.14452328147703017</v>
      </c>
    </row>
    <row r="35" spans="1:11" x14ac:dyDescent="0.3">
      <c r="A35" s="13">
        <v>1</v>
      </c>
      <c r="B35" s="13">
        <f t="shared" ref="B35:B43" si="5">A35*2.54*0.5</f>
        <v>1.27</v>
      </c>
      <c r="C35" s="13">
        <v>30</v>
      </c>
      <c r="D35" s="13">
        <v>-15</v>
      </c>
      <c r="E35" s="13">
        <v>9827</v>
      </c>
      <c r="F35" s="13">
        <v>9546</v>
      </c>
      <c r="G35" s="13">
        <v>18</v>
      </c>
      <c r="H35" s="13">
        <f t="shared" si="1"/>
        <v>0.6</v>
      </c>
      <c r="I35" s="13">
        <f t="shared" si="2"/>
        <v>0.1414213562373095</v>
      </c>
      <c r="J35" s="13">
        <f t="shared" si="3"/>
        <v>0.43109999999999998</v>
      </c>
      <c r="K35" s="13">
        <f t="shared" si="4"/>
        <v>0.14831753099347361</v>
      </c>
    </row>
    <row r="36" spans="1:11" x14ac:dyDescent="0.3">
      <c r="A36" s="13">
        <v>1</v>
      </c>
      <c r="B36" s="13">
        <f t="shared" si="5"/>
        <v>1.27</v>
      </c>
      <c r="C36" s="13">
        <v>30</v>
      </c>
      <c r="D36" s="13">
        <v>-10</v>
      </c>
      <c r="E36" s="13">
        <v>9977</v>
      </c>
      <c r="F36" s="13">
        <v>9609</v>
      </c>
      <c r="G36" s="13">
        <v>25</v>
      </c>
      <c r="H36" s="13">
        <f t="shared" si="1"/>
        <v>0.83333333333333337</v>
      </c>
      <c r="I36" s="13">
        <f t="shared" si="2"/>
        <v>0.16666666666666666</v>
      </c>
      <c r="J36" s="13">
        <f t="shared" si="3"/>
        <v>0.66443333333333343</v>
      </c>
      <c r="K36" s="13">
        <f t="shared" si="4"/>
        <v>0.17255685375486474</v>
      </c>
    </row>
    <row r="37" spans="1:11" x14ac:dyDescent="0.3">
      <c r="A37" s="13">
        <v>1</v>
      </c>
      <c r="B37" s="13">
        <f t="shared" si="5"/>
        <v>1.27</v>
      </c>
      <c r="C37" s="13">
        <v>30</v>
      </c>
      <c r="D37" s="13">
        <v>-5</v>
      </c>
      <c r="E37" s="13">
        <v>9875</v>
      </c>
      <c r="F37" s="13">
        <v>9666</v>
      </c>
      <c r="G37" s="13">
        <v>544</v>
      </c>
      <c r="H37" s="13">
        <f t="shared" si="1"/>
        <v>18.133333333333333</v>
      </c>
      <c r="I37" s="13">
        <f t="shared" si="2"/>
        <v>0.77746025264604013</v>
      </c>
      <c r="J37" s="13">
        <f t="shared" si="3"/>
        <v>17.964433333333332</v>
      </c>
      <c r="K37" s="13">
        <f t="shared" si="4"/>
        <v>0.77874420347405771</v>
      </c>
    </row>
    <row r="38" spans="1:11" x14ac:dyDescent="0.3">
      <c r="A38" s="13">
        <v>1</v>
      </c>
      <c r="B38" s="13">
        <f t="shared" si="5"/>
        <v>1.27</v>
      </c>
      <c r="C38" s="13">
        <v>30</v>
      </c>
      <c r="D38" s="13">
        <v>0</v>
      </c>
      <c r="E38" s="13">
        <v>9670</v>
      </c>
      <c r="F38" s="13">
        <v>9892</v>
      </c>
      <c r="G38" s="13">
        <v>1732</v>
      </c>
      <c r="H38" s="13">
        <f t="shared" si="1"/>
        <v>57.733333333333334</v>
      </c>
      <c r="I38" s="13">
        <f t="shared" si="2"/>
        <v>1.3872434697789875</v>
      </c>
      <c r="J38" s="13">
        <f t="shared" si="3"/>
        <v>57.564433333333334</v>
      </c>
      <c r="K38" s="13">
        <f t="shared" si="4"/>
        <v>1.387963448526093</v>
      </c>
    </row>
    <row r="39" spans="1:11" x14ac:dyDescent="0.3">
      <c r="A39" s="13">
        <v>1</v>
      </c>
      <c r="B39" s="13">
        <f t="shared" si="5"/>
        <v>1.27</v>
      </c>
      <c r="C39" s="13">
        <v>30</v>
      </c>
      <c r="D39" s="13">
        <v>5</v>
      </c>
      <c r="E39" s="13">
        <v>9852</v>
      </c>
      <c r="F39" s="13">
        <v>9869</v>
      </c>
      <c r="G39" s="13">
        <v>3033</v>
      </c>
      <c r="H39" s="13">
        <f t="shared" si="1"/>
        <v>101.1</v>
      </c>
      <c r="I39" s="13">
        <f t="shared" si="2"/>
        <v>1.8357559750685819</v>
      </c>
      <c r="J39" s="13">
        <f t="shared" si="3"/>
        <v>100.9311</v>
      </c>
      <c r="K39" s="13">
        <f t="shared" si="4"/>
        <v>1.8363001089146622</v>
      </c>
    </row>
    <row r="40" spans="1:11" x14ac:dyDescent="0.3">
      <c r="A40" s="13">
        <v>1</v>
      </c>
      <c r="B40" s="13">
        <f t="shared" si="5"/>
        <v>1.27</v>
      </c>
      <c r="C40" s="13">
        <v>30</v>
      </c>
      <c r="D40" s="13">
        <v>10</v>
      </c>
      <c r="E40" s="13">
        <v>9794</v>
      </c>
      <c r="F40" s="13">
        <v>9902</v>
      </c>
      <c r="G40" s="13">
        <v>2502</v>
      </c>
      <c r="H40" s="13">
        <f t="shared" si="1"/>
        <v>83.4</v>
      </c>
      <c r="I40" s="13">
        <f t="shared" si="2"/>
        <v>1.6673332000533068</v>
      </c>
      <c r="J40" s="13">
        <f t="shared" si="3"/>
        <v>83.231100000000012</v>
      </c>
      <c r="K40" s="13">
        <f t="shared" si="4"/>
        <v>1.6679322798003522</v>
      </c>
    </row>
    <row r="41" spans="1:11" x14ac:dyDescent="0.3">
      <c r="A41" s="13">
        <v>1</v>
      </c>
      <c r="B41" s="13">
        <f t="shared" si="5"/>
        <v>1.27</v>
      </c>
      <c r="C41" s="13">
        <v>30</v>
      </c>
      <c r="D41" s="13">
        <v>15</v>
      </c>
      <c r="E41" s="13">
        <v>9632</v>
      </c>
      <c r="F41" s="13">
        <v>10002</v>
      </c>
      <c r="G41" s="13">
        <v>1158</v>
      </c>
      <c r="H41" s="13">
        <f t="shared" si="1"/>
        <v>38.6</v>
      </c>
      <c r="I41" s="13">
        <f t="shared" si="2"/>
        <v>1.1343133018115703</v>
      </c>
      <c r="J41" s="13">
        <f t="shared" si="3"/>
        <v>38.431100000000001</v>
      </c>
      <c r="K41" s="13">
        <f t="shared" si="4"/>
        <v>1.1351937088738058</v>
      </c>
    </row>
    <row r="42" spans="1:11" x14ac:dyDescent="0.3">
      <c r="A42" s="13">
        <v>1</v>
      </c>
      <c r="B42" s="13">
        <f t="shared" si="5"/>
        <v>1.27</v>
      </c>
      <c r="C42" s="13">
        <v>30</v>
      </c>
      <c r="D42" s="13">
        <v>20</v>
      </c>
      <c r="E42" s="13">
        <v>9934</v>
      </c>
      <c r="F42" s="13">
        <v>10222</v>
      </c>
      <c r="G42" s="13">
        <v>287</v>
      </c>
      <c r="H42" s="13">
        <f t="shared" si="1"/>
        <v>9.5666666666666664</v>
      </c>
      <c r="I42" s="13">
        <f t="shared" si="2"/>
        <v>0.56470247820324715</v>
      </c>
      <c r="J42" s="13">
        <f t="shared" si="3"/>
        <v>9.3977666666666657</v>
      </c>
      <c r="K42" s="13">
        <f t="shared" si="4"/>
        <v>0.56646886841987076</v>
      </c>
    </row>
    <row r="43" spans="1:11" x14ac:dyDescent="0.3">
      <c r="A43" s="13">
        <v>1</v>
      </c>
      <c r="B43" s="13">
        <f t="shared" si="5"/>
        <v>1.27</v>
      </c>
      <c r="C43" s="13">
        <v>30</v>
      </c>
      <c r="D43" s="13">
        <v>25</v>
      </c>
      <c r="E43" s="13">
        <v>9781</v>
      </c>
      <c r="F43" s="13">
        <v>10338</v>
      </c>
      <c r="G43" s="13">
        <v>32</v>
      </c>
      <c r="H43" s="13">
        <f t="shared" si="1"/>
        <v>1.0666666666666667</v>
      </c>
      <c r="I43" s="13">
        <f t="shared" si="2"/>
        <v>0.1885618083164127</v>
      </c>
      <c r="J43" s="13">
        <f t="shared" si="3"/>
        <v>0.8977666666666666</v>
      </c>
      <c r="K43" s="13">
        <f t="shared" si="4"/>
        <v>0.19378763003751184</v>
      </c>
    </row>
    <row r="44" spans="1:11" x14ac:dyDescent="0.3">
      <c r="A44" s="14">
        <v>2</v>
      </c>
      <c r="B44" s="14">
        <f>A44*2.54*0.5</f>
        <v>2.54</v>
      </c>
      <c r="C44" s="14">
        <v>30</v>
      </c>
      <c r="D44" s="14">
        <v>-15</v>
      </c>
      <c r="E44" s="14">
        <v>9519</v>
      </c>
      <c r="F44" s="14">
        <v>9276</v>
      </c>
      <c r="G44" s="14">
        <v>12</v>
      </c>
      <c r="H44" s="14">
        <f t="shared" si="1"/>
        <v>0.4</v>
      </c>
      <c r="I44" s="14">
        <f t="shared" si="2"/>
        <v>0.11547005383792515</v>
      </c>
      <c r="J44" s="14">
        <f t="shared" si="3"/>
        <v>0.23110000000000003</v>
      </c>
      <c r="K44" s="14">
        <f t="shared" si="4"/>
        <v>0.12382012491244439</v>
      </c>
    </row>
    <row r="45" spans="1:11" x14ac:dyDescent="0.3">
      <c r="A45" s="14">
        <v>2</v>
      </c>
      <c r="B45" s="14">
        <f t="shared" ref="B45:B65" si="6">A45*2.54*0.5</f>
        <v>2.54</v>
      </c>
      <c r="C45" s="14">
        <v>30</v>
      </c>
      <c r="D45" s="14">
        <v>-10</v>
      </c>
      <c r="E45" s="14">
        <v>9544</v>
      </c>
      <c r="F45" s="14">
        <v>9223</v>
      </c>
      <c r="G45" s="14">
        <v>12</v>
      </c>
      <c r="H45" s="14">
        <f t="shared" si="1"/>
        <v>0.4</v>
      </c>
      <c r="I45" s="14">
        <f t="shared" si="2"/>
        <v>0.11547005383792515</v>
      </c>
      <c r="J45" s="14">
        <f t="shared" si="3"/>
        <v>0.23110000000000003</v>
      </c>
      <c r="K45" s="14">
        <f t="shared" si="4"/>
        <v>0.12382012491244439</v>
      </c>
    </row>
    <row r="46" spans="1:11" x14ac:dyDescent="0.3">
      <c r="A46" s="14">
        <v>2</v>
      </c>
      <c r="B46" s="14">
        <f t="shared" si="6"/>
        <v>2.54</v>
      </c>
      <c r="C46" s="14">
        <v>30</v>
      </c>
      <c r="D46" s="14">
        <v>-5</v>
      </c>
      <c r="E46" s="14">
        <v>9563</v>
      </c>
      <c r="F46" s="14">
        <v>9462</v>
      </c>
      <c r="G46" s="14">
        <v>17</v>
      </c>
      <c r="H46" s="14">
        <f t="shared" si="1"/>
        <v>0.56666666666666665</v>
      </c>
      <c r="I46" s="14">
        <f t="shared" si="2"/>
        <v>0.13743685418725535</v>
      </c>
      <c r="J46" s="14">
        <f t="shared" si="3"/>
        <v>0.39776666666666666</v>
      </c>
      <c r="K46" s="14">
        <f t="shared" si="4"/>
        <v>0.14452328147703017</v>
      </c>
    </row>
    <row r="47" spans="1:11" x14ac:dyDescent="0.3">
      <c r="A47" s="14">
        <v>2</v>
      </c>
      <c r="B47" s="14">
        <f t="shared" si="6"/>
        <v>2.54</v>
      </c>
      <c r="C47" s="14">
        <v>30</v>
      </c>
      <c r="D47" s="14">
        <v>0</v>
      </c>
      <c r="E47" s="14">
        <v>9511</v>
      </c>
      <c r="F47" s="14">
        <v>9904</v>
      </c>
      <c r="G47" s="14">
        <v>103</v>
      </c>
      <c r="H47" s="14">
        <f t="shared" si="1"/>
        <v>3.4333333333333331</v>
      </c>
      <c r="I47" s="14">
        <f t="shared" si="2"/>
        <v>0.33829638550307395</v>
      </c>
      <c r="J47" s="14">
        <f t="shared" si="3"/>
        <v>3.2644333333333333</v>
      </c>
      <c r="K47" s="14">
        <f t="shared" si="4"/>
        <v>0.34123677182338424</v>
      </c>
    </row>
    <row r="48" spans="1:11" x14ac:dyDescent="0.3">
      <c r="A48" s="14">
        <v>2</v>
      </c>
      <c r="B48" s="14">
        <f t="shared" si="6"/>
        <v>2.54</v>
      </c>
      <c r="C48" s="14">
        <v>30</v>
      </c>
      <c r="D48" s="14">
        <v>5</v>
      </c>
      <c r="E48" s="14">
        <v>9526</v>
      </c>
      <c r="F48" s="14">
        <v>10117</v>
      </c>
      <c r="G48" s="14">
        <v>957</v>
      </c>
      <c r="H48" s="14">
        <f t="shared" si="1"/>
        <v>31.9</v>
      </c>
      <c r="I48" s="14">
        <f t="shared" si="2"/>
        <v>1.0311805532172014</v>
      </c>
      <c r="J48" s="14">
        <f t="shared" si="3"/>
        <v>31.731099999999998</v>
      </c>
      <c r="K48" s="14">
        <f t="shared" si="4"/>
        <v>1.0321489346665691</v>
      </c>
    </row>
    <row r="49" spans="1:11" x14ac:dyDescent="0.3">
      <c r="A49" s="14">
        <v>2</v>
      </c>
      <c r="B49" s="14">
        <f t="shared" si="6"/>
        <v>2.54</v>
      </c>
      <c r="C49" s="14">
        <v>30</v>
      </c>
      <c r="D49" s="14">
        <v>10</v>
      </c>
      <c r="E49" s="14">
        <v>9413</v>
      </c>
      <c r="F49" s="14">
        <v>10096</v>
      </c>
      <c r="G49" s="14">
        <v>2382</v>
      </c>
      <c r="H49" s="14">
        <f t="shared" si="1"/>
        <v>79.400000000000006</v>
      </c>
      <c r="I49" s="14">
        <f t="shared" si="2"/>
        <v>1.6268579122549907</v>
      </c>
      <c r="J49" s="14">
        <f t="shared" si="3"/>
        <v>79.231100000000012</v>
      </c>
      <c r="K49" s="14">
        <f t="shared" si="4"/>
        <v>1.6274718912063173</v>
      </c>
    </row>
    <row r="50" spans="1:11" x14ac:dyDescent="0.3">
      <c r="A50" s="14">
        <v>2</v>
      </c>
      <c r="B50" s="14">
        <f t="shared" si="6"/>
        <v>2.54</v>
      </c>
      <c r="C50" s="14">
        <v>30</v>
      </c>
      <c r="D50" s="14">
        <v>15</v>
      </c>
      <c r="E50" s="14">
        <v>9555</v>
      </c>
      <c r="F50" s="14">
        <v>10432</v>
      </c>
      <c r="G50" s="14">
        <v>3071</v>
      </c>
      <c r="H50" s="14">
        <f t="shared" si="1"/>
        <v>102.36666666666666</v>
      </c>
      <c r="I50" s="14">
        <f>SQRT(G50)/C50</f>
        <v>1.8472201336663214</v>
      </c>
      <c r="J50" s="14">
        <f t="shared" si="3"/>
        <v>102.19776666666667</v>
      </c>
      <c r="K50" s="14">
        <f t="shared" si="4"/>
        <v>1.8477608915176829</v>
      </c>
    </row>
    <row r="51" spans="1:11" x14ac:dyDescent="0.3">
      <c r="A51" s="14">
        <v>2</v>
      </c>
      <c r="B51" s="14">
        <f t="shared" si="6"/>
        <v>2.54</v>
      </c>
      <c r="C51" s="14">
        <v>30</v>
      </c>
      <c r="D51" s="14">
        <v>20</v>
      </c>
      <c r="E51" s="14">
        <v>9442</v>
      </c>
      <c r="F51" s="14">
        <v>10787</v>
      </c>
      <c r="G51" s="14">
        <v>1948</v>
      </c>
      <c r="H51" s="14">
        <f t="shared" si="1"/>
        <v>64.933333333333337</v>
      </c>
      <c r="I51" s="14">
        <f t="shared" si="2"/>
        <v>1.4712050993809274</v>
      </c>
      <c r="J51" s="14">
        <f t="shared" si="3"/>
        <v>64.764433333333344</v>
      </c>
      <c r="K51" s="14">
        <f t="shared" si="4"/>
        <v>1.4718840084885916</v>
      </c>
    </row>
    <row r="52" spans="1:11" x14ac:dyDescent="0.3">
      <c r="A52" s="14">
        <v>2</v>
      </c>
      <c r="B52" s="14">
        <f t="shared" si="6"/>
        <v>2.54</v>
      </c>
      <c r="C52" s="14">
        <v>30</v>
      </c>
      <c r="D52" s="14">
        <v>25</v>
      </c>
      <c r="E52" s="14">
        <v>9538</v>
      </c>
      <c r="F52" s="14">
        <v>11025</v>
      </c>
      <c r="G52" s="14">
        <v>713</v>
      </c>
      <c r="H52" s="14">
        <f t="shared" si="1"/>
        <v>23.766666666666666</v>
      </c>
      <c r="I52" s="14">
        <f t="shared" si="2"/>
        <v>0.89006866152124597</v>
      </c>
      <c r="J52" s="14">
        <f t="shared" si="3"/>
        <v>23.597766666666665</v>
      </c>
      <c r="K52" s="14">
        <f t="shared" si="4"/>
        <v>0.89119039055760829</v>
      </c>
    </row>
    <row r="53" spans="1:11" x14ac:dyDescent="0.3">
      <c r="A53" s="14">
        <v>2</v>
      </c>
      <c r="B53" s="14">
        <f t="shared" si="6"/>
        <v>2.54</v>
      </c>
      <c r="C53" s="14">
        <v>30</v>
      </c>
      <c r="D53" s="14">
        <v>30</v>
      </c>
      <c r="E53" s="14">
        <v>9380</v>
      </c>
      <c r="F53" s="14">
        <v>11164</v>
      </c>
      <c r="G53" s="14">
        <v>63</v>
      </c>
      <c r="H53" s="14">
        <f t="shared" si="1"/>
        <v>2.1</v>
      </c>
      <c r="I53" s="14">
        <f t="shared" si="2"/>
        <v>0.26457513110645908</v>
      </c>
      <c r="J53" s="14">
        <f t="shared" si="3"/>
        <v>1.9311</v>
      </c>
      <c r="K53" s="14">
        <f t="shared" si="4"/>
        <v>0.26832459820150667</v>
      </c>
    </row>
    <row r="54" spans="1:11" x14ac:dyDescent="0.3">
      <c r="A54" s="15">
        <v>3</v>
      </c>
      <c r="B54" s="15">
        <f>A54*2.54*0.5</f>
        <v>3.81</v>
      </c>
      <c r="C54" s="15">
        <v>30</v>
      </c>
      <c r="D54" s="15">
        <v>-5</v>
      </c>
      <c r="E54" s="15">
        <v>9664</v>
      </c>
      <c r="F54" s="15">
        <v>9004</v>
      </c>
      <c r="G54" s="15">
        <v>12</v>
      </c>
      <c r="H54" s="15">
        <f t="shared" si="1"/>
        <v>0.4</v>
      </c>
      <c r="I54" s="15">
        <f t="shared" si="2"/>
        <v>0.11547005383792515</v>
      </c>
      <c r="J54" s="15">
        <f t="shared" si="3"/>
        <v>0.23110000000000003</v>
      </c>
      <c r="K54" s="15">
        <f t="shared" si="4"/>
        <v>0.12382012491244439</v>
      </c>
    </row>
    <row r="55" spans="1:11" x14ac:dyDescent="0.3">
      <c r="A55" s="15">
        <v>3</v>
      </c>
      <c r="B55" s="15">
        <f t="shared" si="6"/>
        <v>3.81</v>
      </c>
      <c r="C55" s="15">
        <v>30</v>
      </c>
      <c r="D55" s="15">
        <v>0</v>
      </c>
      <c r="E55" s="15">
        <v>9431</v>
      </c>
      <c r="F55" s="15">
        <v>9498</v>
      </c>
      <c r="G55" s="15">
        <v>16</v>
      </c>
      <c r="H55" s="15">
        <f t="shared" si="1"/>
        <v>0.53333333333333333</v>
      </c>
      <c r="I55" s="15">
        <f t="shared" si="2"/>
        <v>0.13333333333333333</v>
      </c>
      <c r="J55" s="15">
        <f t="shared" si="3"/>
        <v>0.36443333333333333</v>
      </c>
      <c r="K55" s="15">
        <f t="shared" si="4"/>
        <v>0.14062669653297619</v>
      </c>
    </row>
    <row r="56" spans="1:11" x14ac:dyDescent="0.3">
      <c r="A56" s="15">
        <v>3</v>
      </c>
      <c r="B56" s="15">
        <f t="shared" si="6"/>
        <v>3.81</v>
      </c>
      <c r="C56" s="15">
        <v>30</v>
      </c>
      <c r="D56" s="15">
        <v>5</v>
      </c>
      <c r="E56" s="15">
        <v>9372</v>
      </c>
      <c r="F56" s="15">
        <v>9633</v>
      </c>
      <c r="G56" s="15">
        <v>19</v>
      </c>
      <c r="H56" s="15">
        <f t="shared" si="1"/>
        <v>0.6333333333333333</v>
      </c>
      <c r="I56" s="15">
        <f t="shared" si="2"/>
        <v>0.1452966314513558</v>
      </c>
      <c r="J56" s="15">
        <f t="shared" si="3"/>
        <v>0.46443333333333331</v>
      </c>
      <c r="K56" s="15">
        <f t="shared" si="4"/>
        <v>0.1520171079553585</v>
      </c>
    </row>
    <row r="57" spans="1:11" x14ac:dyDescent="0.3">
      <c r="A57" s="15">
        <v>3</v>
      </c>
      <c r="B57" s="15">
        <f t="shared" si="6"/>
        <v>3.81</v>
      </c>
      <c r="C57" s="15">
        <v>30</v>
      </c>
      <c r="D57" s="15">
        <v>10</v>
      </c>
      <c r="E57" s="15">
        <v>9645</v>
      </c>
      <c r="F57" s="15">
        <v>10288</v>
      </c>
      <c r="G57" s="15">
        <v>377</v>
      </c>
      <c r="H57" s="15">
        <f t="shared" si="1"/>
        <v>12.566666666666666</v>
      </c>
      <c r="I57" s="15">
        <f t="shared" si="2"/>
        <v>0.64721626129825327</v>
      </c>
      <c r="J57" s="15">
        <f t="shared" si="3"/>
        <v>12.397766666666666</v>
      </c>
      <c r="K57" s="15">
        <f t="shared" si="4"/>
        <v>0.64875802799571491</v>
      </c>
    </row>
    <row r="58" spans="1:11" x14ac:dyDescent="0.3">
      <c r="A58" s="15">
        <v>3</v>
      </c>
      <c r="B58" s="15">
        <f t="shared" si="6"/>
        <v>3.81</v>
      </c>
      <c r="C58" s="15">
        <v>30</v>
      </c>
      <c r="D58" s="15">
        <v>15</v>
      </c>
      <c r="E58" s="15">
        <v>9660</v>
      </c>
      <c r="F58" s="15">
        <v>10600</v>
      </c>
      <c r="G58" s="15">
        <v>1589</v>
      </c>
      <c r="H58" s="15">
        <f t="shared" ref="H58:H65" si="7">G58/C58</f>
        <v>52.966666666666669</v>
      </c>
      <c r="I58" s="15">
        <f t="shared" si="2"/>
        <v>1.32874209519965</v>
      </c>
      <c r="J58" s="15">
        <f t="shared" si="3"/>
        <v>52.797766666666668</v>
      </c>
      <c r="K58" s="15">
        <f t="shared" si="4"/>
        <v>1.3294937553653856</v>
      </c>
    </row>
    <row r="59" spans="1:11" x14ac:dyDescent="0.3">
      <c r="A59" s="15">
        <v>3</v>
      </c>
      <c r="B59" s="15">
        <f t="shared" si="6"/>
        <v>3.81</v>
      </c>
      <c r="C59" s="15">
        <v>30</v>
      </c>
      <c r="D59" s="15">
        <v>20</v>
      </c>
      <c r="E59" s="15">
        <v>9551</v>
      </c>
      <c r="F59" s="15">
        <v>11031</v>
      </c>
      <c r="G59" s="15">
        <v>3043</v>
      </c>
      <c r="H59" s="15">
        <f t="shared" si="7"/>
        <v>101.43333333333334</v>
      </c>
      <c r="I59" s="15">
        <f t="shared" si="2"/>
        <v>1.8387797886400401</v>
      </c>
      <c r="J59" s="15">
        <f t="shared" si="3"/>
        <v>101.26443333333334</v>
      </c>
      <c r="K59" s="15">
        <f t="shared" si="4"/>
        <v>1.8393230279402013</v>
      </c>
    </row>
    <row r="60" spans="1:11" x14ac:dyDescent="0.3">
      <c r="A60" s="15">
        <v>3</v>
      </c>
      <c r="B60" s="15">
        <f t="shared" si="6"/>
        <v>3.81</v>
      </c>
      <c r="C60" s="15">
        <v>30</v>
      </c>
      <c r="D60" s="15">
        <v>25</v>
      </c>
      <c r="E60" s="15">
        <v>9720</v>
      </c>
      <c r="F60" s="15">
        <v>11370</v>
      </c>
      <c r="G60" s="15">
        <v>2991</v>
      </c>
      <c r="H60" s="15">
        <f t="shared" si="7"/>
        <v>99.7</v>
      </c>
      <c r="I60" s="15">
        <f t="shared" si="2"/>
        <v>1.823001188516709</v>
      </c>
      <c r="J60" s="15">
        <f t="shared" si="3"/>
        <v>99.531100000000009</v>
      </c>
      <c r="K60" s="15">
        <f t="shared" si="4"/>
        <v>1.8235491283026442</v>
      </c>
    </row>
    <row r="61" spans="1:11" x14ac:dyDescent="0.3">
      <c r="A61" s="15">
        <v>3</v>
      </c>
      <c r="B61" s="15">
        <f t="shared" si="6"/>
        <v>3.81</v>
      </c>
      <c r="C61" s="15">
        <v>30</v>
      </c>
      <c r="D61" s="15">
        <v>30</v>
      </c>
      <c r="E61" s="15">
        <v>9553</v>
      </c>
      <c r="F61" s="15">
        <v>11753</v>
      </c>
      <c r="G61" s="15">
        <v>1461</v>
      </c>
      <c r="H61" s="15">
        <f t="shared" si="7"/>
        <v>48.7</v>
      </c>
      <c r="I61" s="15">
        <f t="shared" si="2"/>
        <v>1.2741009902410927</v>
      </c>
      <c r="J61" s="15">
        <f t="shared" si="3"/>
        <v>48.531100000000002</v>
      </c>
      <c r="K61" s="15">
        <f t="shared" si="4"/>
        <v>1.27488486669712</v>
      </c>
    </row>
    <row r="62" spans="1:11" x14ac:dyDescent="0.3">
      <c r="A62" s="15">
        <v>3</v>
      </c>
      <c r="B62" s="15">
        <f t="shared" si="6"/>
        <v>3.81</v>
      </c>
      <c r="C62" s="15">
        <v>30</v>
      </c>
      <c r="D62" s="15">
        <v>35</v>
      </c>
      <c r="E62" s="15">
        <v>9370</v>
      </c>
      <c r="F62" s="15">
        <v>12003</v>
      </c>
      <c r="G62" s="15">
        <v>326</v>
      </c>
      <c r="H62" s="15">
        <f t="shared" si="7"/>
        <v>10.866666666666667</v>
      </c>
      <c r="I62" s="15">
        <f t="shared" si="2"/>
        <v>0.60184900284225962</v>
      </c>
      <c r="J62" s="15">
        <f t="shared" si="3"/>
        <v>10.697766666666666</v>
      </c>
      <c r="K62" s="15">
        <f t="shared" si="4"/>
        <v>0.6035066795174866</v>
      </c>
    </row>
    <row r="63" spans="1:11" x14ac:dyDescent="0.3">
      <c r="A63" s="15">
        <v>3</v>
      </c>
      <c r="B63" s="15">
        <f t="shared" si="6"/>
        <v>3.81</v>
      </c>
      <c r="C63" s="15">
        <v>30</v>
      </c>
      <c r="D63" s="15">
        <v>40</v>
      </c>
      <c r="E63" s="15">
        <v>9551</v>
      </c>
      <c r="F63" s="15">
        <v>12532</v>
      </c>
      <c r="G63" s="15">
        <v>31</v>
      </c>
      <c r="H63" s="15">
        <f t="shared" si="7"/>
        <v>1.0333333333333334</v>
      </c>
      <c r="I63" s="15">
        <f t="shared" si="2"/>
        <v>0.18559214542766739</v>
      </c>
      <c r="J63" s="15">
        <f t="shared" si="3"/>
        <v>0.86443333333333339</v>
      </c>
      <c r="K63" s="15">
        <f t="shared" si="4"/>
        <v>0.19089927827114603</v>
      </c>
    </row>
    <row r="64" spans="1:11" x14ac:dyDescent="0.3">
      <c r="A64" s="15">
        <v>3</v>
      </c>
      <c r="B64" s="15">
        <f t="shared" si="6"/>
        <v>3.81</v>
      </c>
      <c r="C64" s="15">
        <v>30</v>
      </c>
      <c r="D64" s="15">
        <v>45</v>
      </c>
      <c r="E64" s="15">
        <v>9505</v>
      </c>
      <c r="F64" s="15">
        <v>13165</v>
      </c>
      <c r="G64" s="15">
        <v>16</v>
      </c>
      <c r="H64" s="15">
        <f t="shared" si="7"/>
        <v>0.53333333333333333</v>
      </c>
      <c r="I64" s="15">
        <f t="shared" si="2"/>
        <v>0.13333333333333333</v>
      </c>
      <c r="J64" s="15">
        <f t="shared" si="3"/>
        <v>0.36443333333333333</v>
      </c>
      <c r="K64" s="15">
        <f t="shared" si="4"/>
        <v>0.14062669653297619</v>
      </c>
    </row>
    <row r="65" spans="1:11" x14ac:dyDescent="0.3">
      <c r="A65" s="15">
        <v>3</v>
      </c>
      <c r="B65" s="15">
        <f t="shared" si="6"/>
        <v>3.81</v>
      </c>
      <c r="C65" s="15">
        <v>30</v>
      </c>
      <c r="D65" s="15">
        <v>50</v>
      </c>
      <c r="E65" s="15">
        <v>9478</v>
      </c>
      <c r="F65" s="15">
        <v>13573</v>
      </c>
      <c r="G65" s="15">
        <v>10</v>
      </c>
      <c r="H65" s="15">
        <f t="shared" si="7"/>
        <v>0.33333333333333331</v>
      </c>
      <c r="I65" s="15">
        <f t="shared" si="2"/>
        <v>0.10540925533894599</v>
      </c>
      <c r="J65" s="15">
        <f t="shared" si="3"/>
        <v>0.16443333333333332</v>
      </c>
      <c r="K65" s="15">
        <f t="shared" si="4"/>
        <v>0.11449541960755946</v>
      </c>
    </row>
    <row r="72" spans="1:11" x14ac:dyDescent="0.3">
      <c r="A72" s="18"/>
      <c r="C72" s="17"/>
      <c r="D72" s="17"/>
      <c r="E72" s="17"/>
      <c r="G72" s="17"/>
    </row>
    <row r="73" spans="1:11" x14ac:dyDescent="0.3">
      <c r="A73" s="18"/>
      <c r="C73" s="17"/>
      <c r="D73" s="17"/>
      <c r="E73" s="17"/>
      <c r="G73" s="17"/>
    </row>
    <row r="74" spans="1:11" x14ac:dyDescent="0.3">
      <c r="A74" s="18"/>
      <c r="C74" s="17"/>
      <c r="D74" s="17"/>
      <c r="E74" s="17"/>
      <c r="G74" s="17"/>
    </row>
    <row r="75" spans="1:11" x14ac:dyDescent="0.3">
      <c r="A75" s="18"/>
      <c r="C75" s="17"/>
      <c r="D75" s="17"/>
      <c r="E75" s="17"/>
      <c r="G75" s="17"/>
    </row>
    <row r="76" spans="1:11" x14ac:dyDescent="0.3">
      <c r="A76" s="18"/>
      <c r="C76" s="17"/>
      <c r="D76" s="17"/>
      <c r="E76" s="17"/>
      <c r="G76" s="17"/>
    </row>
    <row r="77" spans="1:11" x14ac:dyDescent="0.3">
      <c r="A77" s="18"/>
      <c r="C77" s="17"/>
      <c r="D77" s="17"/>
      <c r="E77" s="17"/>
      <c r="G77" s="17"/>
    </row>
    <row r="78" spans="1:11" x14ac:dyDescent="0.3">
      <c r="A78" s="18"/>
      <c r="C78" s="17"/>
      <c r="D78" s="17"/>
      <c r="E78" s="17"/>
      <c r="G78" s="17"/>
    </row>
    <row r="79" spans="1:11" x14ac:dyDescent="0.3">
      <c r="A79" s="18"/>
      <c r="C79" s="17"/>
      <c r="D79" s="17"/>
      <c r="E79" s="17"/>
      <c r="G79" s="17"/>
    </row>
    <row r="80" spans="1:11" x14ac:dyDescent="0.3">
      <c r="A80" s="18"/>
      <c r="C80" s="17"/>
      <c r="D80" s="17"/>
      <c r="E80" s="17"/>
      <c r="G80" s="17"/>
    </row>
    <row r="81" spans="1:7" x14ac:dyDescent="0.3">
      <c r="A81" s="18"/>
      <c r="C81" s="17"/>
      <c r="D81" s="17"/>
      <c r="E81" s="17"/>
      <c r="G81" s="17"/>
    </row>
    <row r="82" spans="1:7" x14ac:dyDescent="0.3">
      <c r="A82" s="18"/>
      <c r="C82" s="17"/>
      <c r="D82" s="17"/>
      <c r="E82" s="17"/>
      <c r="G82" s="17"/>
    </row>
    <row r="83" spans="1:7" x14ac:dyDescent="0.3">
      <c r="A83" s="18"/>
      <c r="C83" s="17"/>
      <c r="D83" s="17"/>
      <c r="E8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5B7C-35A3-44CB-BBDB-5914BB72AC20}">
  <dimension ref="A1:G7"/>
  <sheetViews>
    <sheetView workbookViewId="0">
      <selection activeCell="H4" sqref="H4"/>
    </sheetView>
  </sheetViews>
  <sheetFormatPr defaultRowHeight="14.4" x14ac:dyDescent="0.3"/>
  <sheetData>
    <row r="1" spans="1:7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3">
      <c r="A2">
        <v>-1.5</v>
      </c>
      <c r="B2">
        <v>-25.562000000000001</v>
      </c>
      <c r="C2">
        <v>0.23300000000000001</v>
      </c>
      <c r="D2">
        <v>5.88</v>
      </c>
      <c r="E2">
        <v>0.16200000000000001</v>
      </c>
      <c r="F2" s="16">
        <f>2.35*D2</f>
        <v>13.818</v>
      </c>
      <c r="G2" s="16">
        <f>2.35*E2</f>
        <v>0.38070000000000004</v>
      </c>
    </row>
    <row r="3" spans="1:7" x14ac:dyDescent="0.3">
      <c r="A3">
        <v>-1</v>
      </c>
      <c r="B3">
        <v>-17.420000000000002</v>
      </c>
      <c r="C3">
        <v>0.153</v>
      </c>
      <c r="D3">
        <v>5.835</v>
      </c>
      <c r="E3">
        <v>0.10199999999999999</v>
      </c>
      <c r="F3" s="16">
        <f t="shared" ref="F3:F7" si="0">2.35*D3</f>
        <v>13.712250000000001</v>
      </c>
      <c r="G3" s="16">
        <f t="shared" ref="G3:G7" si="1">2.35*E3</f>
        <v>0.2397</v>
      </c>
    </row>
    <row r="4" spans="1:7" x14ac:dyDescent="0.3">
      <c r="A4">
        <v>-0.5</v>
      </c>
      <c r="B4">
        <v>-9.266</v>
      </c>
      <c r="C4">
        <v>0.17699999999999999</v>
      </c>
      <c r="D4">
        <v>5.7350000000000003</v>
      </c>
      <c r="E4">
        <v>0.124</v>
      </c>
      <c r="F4" s="16">
        <f t="shared" si="0"/>
        <v>13.477250000000002</v>
      </c>
      <c r="G4" s="16">
        <f t="shared" si="1"/>
        <v>0.29139999999999999</v>
      </c>
    </row>
    <row r="5" spans="1:7" x14ac:dyDescent="0.3">
      <c r="A5">
        <v>0.5</v>
      </c>
      <c r="B5">
        <v>6.633</v>
      </c>
      <c r="C5">
        <v>0.23899999999999999</v>
      </c>
      <c r="D5">
        <v>5.88</v>
      </c>
      <c r="E5">
        <v>0.16500000000000001</v>
      </c>
      <c r="F5" s="16">
        <f t="shared" si="0"/>
        <v>13.818</v>
      </c>
      <c r="G5" s="16">
        <f t="shared" si="1"/>
        <v>0.38775000000000004</v>
      </c>
    </row>
    <row r="6" spans="1:7" x14ac:dyDescent="0.3">
      <c r="A6">
        <v>1</v>
      </c>
      <c r="B6">
        <v>14.422000000000001</v>
      </c>
      <c r="C6">
        <v>0.193</v>
      </c>
      <c r="D6">
        <v>5.7709999999999999</v>
      </c>
      <c r="E6">
        <v>0.13500000000000001</v>
      </c>
      <c r="F6" s="16">
        <f t="shared" si="0"/>
        <v>13.56185</v>
      </c>
      <c r="G6" s="16">
        <f t="shared" si="1"/>
        <v>0.31725000000000003</v>
      </c>
    </row>
    <row r="7" spans="1:7" x14ac:dyDescent="0.3">
      <c r="A7">
        <v>1.5</v>
      </c>
      <c r="B7">
        <v>22.381</v>
      </c>
      <c r="C7">
        <v>0.14399999999999999</v>
      </c>
      <c r="D7">
        <v>5.7720000000000002</v>
      </c>
      <c r="E7">
        <v>9.9000000000000005E-2</v>
      </c>
      <c r="F7" s="16">
        <f t="shared" si="0"/>
        <v>13.564200000000001</v>
      </c>
      <c r="G7" s="16">
        <f t="shared" si="1"/>
        <v>0.23265000000000002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Botao-Osciloscopio</vt:lpstr>
      <vt:lpstr>Janela</vt:lpstr>
      <vt:lpstr>Fortuitas</vt:lpstr>
      <vt:lpstr>Plano equidistante</vt:lpstr>
      <vt:lpstr>theta distancia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2023-10-19T21:26:15Z</dcterms:modified>
</cp:coreProperties>
</file>