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ropbox\TINF13K\Semester VI\SWE II\DSP\"/>
    </mc:Choice>
  </mc:AlternateContent>
  <bookViews>
    <workbookView xWindow="0" yWindow="0" windowWidth="25200" windowHeight="11985" tabRatio="522" activeTab="2"/>
  </bookViews>
  <sheets>
    <sheet name="Team" sheetId="22" r:id="rId1"/>
    <sheet name="Release Plan" sheetId="7" r:id="rId2"/>
    <sheet name="Backlog" sheetId="8" r:id="rId3"/>
    <sheet name="Sp1" sheetId="19" r:id="rId4"/>
    <sheet name="Sp2" sheetId="23" r:id="rId5"/>
    <sheet name="Backlog Burndown" sheetId="20" r:id="rId6"/>
  </sheets>
  <definedNames>
    <definedName name="AverageSpeedLastEight">OFFSET('Backlog Burndown'!$P$27,1,0,'Backlog Burndown'!$G$3,1)</definedName>
    <definedName name="AverageSpeedRealized">OFFSET('Backlog Burndown'!$O$27,1,0,'Backlog Burndown'!$G$3,1)</definedName>
    <definedName name="AverageSpeedWorstThree">OFFSET('Backlog Burndown'!$Q$27,1,0,'Backlog Burndown'!$G$3,1)</definedName>
    <definedName name="ColBottomCurrentScope">OFFSET('Backlog Burndown'!$I$27,1,0,'Backlog Burndown'!$G$3,1)</definedName>
    <definedName name="ColTopRemainingWork">OFFSET('Backlog Burndown'!$F$27,1,0,'Backlog Burndown'!$G$3,1)</definedName>
    <definedName name="DoneDays" localSheetId="3">'Sp1'!$D$11</definedName>
    <definedName name="DoneDays" localSheetId="4">'Sp2'!$D$11</definedName>
    <definedName name="DoneDays">#REF!</definedName>
    <definedName name="_xlnm.Print_Area" localSheetId="2">Backlog!$A:$G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IF('Backlog Burndown'!$G$4&gt;8,OFFSET('Backlog Burndown'!$D$27,'Backlog Burndown'!$G$4-7,0,8,1),OFFSET('Backlog Burndown'!$D$27,1,0,'Backlog Burndown'!$G$4-1,1))</definedName>
    <definedName name="LastPlanned">IF(OFFSET('Backlog Burndown'!$B$27,1,0,1,1)="",1,OFFSET('Backlog Burndown'!$B$27,'Backlog Burndown'!$G$3,0,1,1))</definedName>
    <definedName name="LastRealized">IF(OFFSET('Backlog Burndown'!$D$27,1,0,1,1)="",1,OFFSET('Backlog Burndown'!$D$27,'Backlog Burndown'!$G$3,0,1,1))</definedName>
    <definedName name="PBCurrentBottom">OFFSET('Backlog Burndown'!$N$27,1,0,'Backlog Burndown'!$G$9,1)</definedName>
    <definedName name="PBTrend">OFFSET('Backlog Burndown'!$M$27,1,0,'Backlog Burndown'!$G$9,1)</definedName>
    <definedName name="PlannedSpeed">OFFSET('Backlog Burndown'!$C$27,1,0,'Backlog Burndown'!$G$3,1)</definedName>
    <definedName name="ProductBacklog">Backlog!$A$4:$G$163</definedName>
    <definedName name="RealizedSpeed">OFFSET('Backlog Burndown'!$D$27,1,0,'Backlog Burndown'!$G$3,1)</definedName>
    <definedName name="RealValues" localSheetId="3">OFFSET('Sp1'!$F$10,0,0,1,'Sp1'!DoneDays)</definedName>
    <definedName name="RealValues" localSheetId="4">OFFSET('Sp2'!$F$10,0,0,1,'Sp2'!DoneDays)</definedName>
    <definedName name="Sprint">Backlog!$E$5:$E$163</definedName>
    <definedName name="SprintCount">'Backlog Burndown'!$G$3</definedName>
    <definedName name="SprintsInTrend">'Backlog Burndown'!$G$6</definedName>
    <definedName name="SprintTasks" localSheetId="3">'Sp1'!$A$14:$AD$63</definedName>
    <definedName name="SprintTasks" localSheetId="4">'Sp2'!$A$14:$AD$63</definedName>
    <definedName name="SprintTasks">#REF!</definedName>
    <definedName name="Status">Backlog!$C$5:$C$163</definedName>
    <definedName name="StoryName">Backlog!$B$5:$B$163</definedName>
    <definedName name="Task">#REF!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 localSheetId="4">'Sp2'!$D$14:$D$58</definedName>
    <definedName name="TaskStatus">#REF!</definedName>
    <definedName name="TaskStoryID" localSheetId="3">'Sp1'!$B$14:$B$53</definedName>
    <definedName name="TaskStoryID" localSheetId="4">'Sp2'!$B$14:$B$53</definedName>
    <definedName name="TaskStoryID">#REF!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 localSheetId="4">'Sp2'!$D$13</definedName>
    <definedName name="TrendDays">#REF!</definedName>
    <definedName name="TrendOffset">'Backlog Burndown'!$G$5</definedName>
    <definedName name="TrendSprintCount">'Backlog Burndown'!$G$4</definedName>
  </definedNames>
  <calcPr calcId="152511"/>
</workbook>
</file>

<file path=xl/calcChain.xml><?xml version="1.0" encoding="utf-8"?>
<calcChain xmlns="http://schemas.openxmlformats.org/spreadsheetml/2006/main">
  <c r="A3" i="23" l="1"/>
  <c r="D64" i="23" l="1"/>
  <c r="G40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D18" i="23"/>
  <c r="C17" i="23"/>
  <c r="A17" i="23"/>
  <c r="C16" i="23"/>
  <c r="A16" i="23"/>
  <c r="C15" i="23"/>
  <c r="A15" i="23"/>
  <c r="B11" i="23" s="1"/>
  <c r="G14" i="23"/>
  <c r="F11" i="23"/>
  <c r="A3" i="19"/>
  <c r="A17" i="19"/>
  <c r="A16" i="19"/>
  <c r="C15" i="19"/>
  <c r="A15" i="19"/>
  <c r="D16" i="7"/>
  <c r="C17" i="19"/>
  <c r="C16" i="19"/>
  <c r="W10" i="23" l="1"/>
  <c r="Q10" i="23"/>
  <c r="K10" i="23"/>
  <c r="AB10" i="23"/>
  <c r="V10" i="23"/>
  <c r="J10" i="23"/>
  <c r="P10" i="23"/>
  <c r="AA10" i="23"/>
  <c r="U10" i="23"/>
  <c r="O10" i="23"/>
  <c r="I10" i="23"/>
  <c r="Z10" i="23"/>
  <c r="T10" i="23"/>
  <c r="N10" i="23"/>
  <c r="H10" i="23"/>
  <c r="S10" i="23"/>
  <c r="L10" i="23"/>
  <c r="R10" i="23"/>
  <c r="M10" i="23"/>
  <c r="Y10" i="23"/>
  <c r="G10" i="23"/>
  <c r="X10" i="23"/>
  <c r="F10" i="23"/>
  <c r="G39" i="23"/>
  <c r="G11" i="23"/>
  <c r="H14" i="23"/>
  <c r="E4" i="7"/>
  <c r="E5" i="7"/>
  <c r="D4" i="7"/>
  <c r="D5" i="7"/>
  <c r="G4" i="20"/>
  <c r="D10" i="20"/>
  <c r="D11" i="20" s="1"/>
  <c r="B17" i="7"/>
  <c r="D17" i="7" s="1"/>
  <c r="B29" i="20"/>
  <c r="E29" i="20" s="1"/>
  <c r="B28" i="20"/>
  <c r="E28" i="20" s="1"/>
  <c r="G5" i="20"/>
  <c r="G14" i="19"/>
  <c r="H14" i="19" s="1"/>
  <c r="F22" i="7"/>
  <c r="F23" i="7" s="1"/>
  <c r="F24" i="7" s="1"/>
  <c r="F25" i="7" s="1"/>
  <c r="F26" i="7" s="1"/>
  <c r="F27" i="7" s="1"/>
  <c r="F28" i="7" s="1"/>
  <c r="F29" i="7" s="1"/>
  <c r="F30" i="7" s="1"/>
  <c r="G17" i="20"/>
  <c r="A18" i="20"/>
  <c r="A8" i="20"/>
  <c r="D15" i="20"/>
  <c r="D17" i="20"/>
  <c r="D16" i="20"/>
  <c r="H28" i="20"/>
  <c r="E31" i="7"/>
  <c r="B11" i="19"/>
  <c r="D18" i="19"/>
  <c r="F18" i="19"/>
  <c r="D19" i="19"/>
  <c r="F19" i="19"/>
  <c r="D20" i="19"/>
  <c r="F20" i="19"/>
  <c r="D21" i="19"/>
  <c r="F21" i="19"/>
  <c r="D22" i="19"/>
  <c r="F22" i="19"/>
  <c r="D23" i="19"/>
  <c r="F23" i="19"/>
  <c r="D24" i="19"/>
  <c r="F24" i="19"/>
  <c r="D25" i="19"/>
  <c r="F25" i="19"/>
  <c r="D26" i="19"/>
  <c r="F26" i="19"/>
  <c r="D27" i="19"/>
  <c r="F27" i="19"/>
  <c r="D28" i="19"/>
  <c r="F28" i="19"/>
  <c r="D29" i="19"/>
  <c r="F29" i="19"/>
  <c r="D30" i="19"/>
  <c r="F30" i="19"/>
  <c r="D31" i="19"/>
  <c r="F31" i="19"/>
  <c r="D32" i="19"/>
  <c r="F32" i="19"/>
  <c r="D33" i="19"/>
  <c r="F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64" i="19"/>
  <c r="E10" i="7"/>
  <c r="E9" i="7"/>
  <c r="E8" i="7"/>
  <c r="E7" i="7"/>
  <c r="E6" i="7"/>
  <c r="D6" i="7"/>
  <c r="C7" i="7"/>
  <c r="D7" i="7" s="1"/>
  <c r="C8" i="7"/>
  <c r="D8" i="7" s="1"/>
  <c r="C9" i="7"/>
  <c r="D9" i="7"/>
  <c r="C10" i="7"/>
  <c r="D10" i="7" s="1"/>
  <c r="H11" i="23" l="1"/>
  <c r="H40" i="23"/>
  <c r="I14" i="23"/>
  <c r="H39" i="23"/>
  <c r="G39" i="19"/>
  <c r="I14" i="19"/>
  <c r="I39" i="19" s="1"/>
  <c r="H39" i="19"/>
  <c r="H40" i="19"/>
  <c r="G40" i="19"/>
  <c r="V10" i="19"/>
  <c r="F10" i="19"/>
  <c r="J10" i="19"/>
  <c r="AB10" i="19"/>
  <c r="U10" i="19"/>
  <c r="R10" i="19"/>
  <c r="L10" i="19"/>
  <c r="P10" i="19"/>
  <c r="X10" i="19"/>
  <c r="K10" i="19"/>
  <c r="B18" i="7"/>
  <c r="B19" i="7" s="1"/>
  <c r="D19" i="7" s="1"/>
  <c r="Q31" i="20"/>
  <c r="Q34" i="20"/>
  <c r="Q37" i="20"/>
  <c r="Q40" i="20"/>
  <c r="Q43" i="20"/>
  <c r="Q46" i="20"/>
  <c r="Q49" i="20"/>
  <c r="Q48" i="20"/>
  <c r="Q30" i="20"/>
  <c r="Q51" i="20"/>
  <c r="Q28" i="20"/>
  <c r="Q29" i="20"/>
  <c r="Q32" i="20"/>
  <c r="Q35" i="20"/>
  <c r="Q38" i="20"/>
  <c r="Q41" i="20"/>
  <c r="Q44" i="20"/>
  <c r="Q47" i="20"/>
  <c r="Q50" i="20"/>
  <c r="Q33" i="20"/>
  <c r="Q36" i="20"/>
  <c r="Q39" i="20"/>
  <c r="Q42" i="20"/>
  <c r="Q45" i="20"/>
  <c r="P43" i="20"/>
  <c r="P51" i="20"/>
  <c r="P48" i="20"/>
  <c r="P45" i="20"/>
  <c r="P42" i="20"/>
  <c r="P39" i="20"/>
  <c r="P36" i="20"/>
  <c r="P33" i="20"/>
  <c r="P30" i="20"/>
  <c r="P49" i="20"/>
  <c r="P40" i="20"/>
  <c r="P31" i="20"/>
  <c r="P46" i="20"/>
  <c r="P37" i="20"/>
  <c r="P34" i="20"/>
  <c r="P50" i="20"/>
  <c r="P47" i="20"/>
  <c r="P44" i="20"/>
  <c r="P41" i="20"/>
  <c r="P38" i="20"/>
  <c r="P35" i="20"/>
  <c r="P32" i="20"/>
  <c r="P29" i="20"/>
  <c r="P28" i="20"/>
  <c r="J14" i="19"/>
  <c r="I40" i="19"/>
  <c r="I11" i="19"/>
  <c r="G6" i="20"/>
  <c r="D8" i="20" s="1"/>
  <c r="G11" i="19"/>
  <c r="F11" i="19"/>
  <c r="AA10" i="19"/>
  <c r="Q10" i="19"/>
  <c r="I10" i="19"/>
  <c r="H11" i="19"/>
  <c r="W10" i="19"/>
  <c r="O10" i="19"/>
  <c r="H10" i="19"/>
  <c r="N10" i="19"/>
  <c r="T10" i="19"/>
  <c r="Z10" i="19"/>
  <c r="G10" i="19"/>
  <c r="M10" i="19"/>
  <c r="S10" i="19"/>
  <c r="Y10" i="19"/>
  <c r="B30" i="20"/>
  <c r="I29" i="20"/>
  <c r="H29" i="20" s="1"/>
  <c r="F28" i="20"/>
  <c r="J14" i="23" l="1"/>
  <c r="I40" i="23"/>
  <c r="I11" i="23"/>
  <c r="I39" i="23"/>
  <c r="B20" i="7"/>
  <c r="D18" i="7"/>
  <c r="K28" i="20"/>
  <c r="F29" i="20"/>
  <c r="G28" i="20"/>
  <c r="B31" i="20"/>
  <c r="E30" i="20"/>
  <c r="I30" i="20"/>
  <c r="F30" i="20"/>
  <c r="K14" i="19"/>
  <c r="J40" i="19"/>
  <c r="J11" i="19"/>
  <c r="J39" i="19"/>
  <c r="D20" i="7"/>
  <c r="B21" i="7"/>
  <c r="K14" i="23" l="1"/>
  <c r="J40" i="23"/>
  <c r="J39" i="23"/>
  <c r="J11" i="23"/>
  <c r="D21" i="7"/>
  <c r="B22" i="7"/>
  <c r="I31" i="20"/>
  <c r="H31" i="20" s="1"/>
  <c r="F31" i="20"/>
  <c r="B32" i="20"/>
  <c r="E31" i="20"/>
  <c r="N32" i="20"/>
  <c r="N38" i="20"/>
  <c r="N44" i="20"/>
  <c r="N50" i="20"/>
  <c r="H30" i="20"/>
  <c r="N33" i="20"/>
  <c r="N39" i="20"/>
  <c r="N45" i="20"/>
  <c r="N51" i="20"/>
  <c r="N34" i="20"/>
  <c r="N40" i="20"/>
  <c r="L40" i="20" s="1"/>
  <c r="N46" i="20"/>
  <c r="N28" i="20"/>
  <c r="N30" i="20"/>
  <c r="L30" i="20" s="1"/>
  <c r="N31" i="20"/>
  <c r="N37" i="20"/>
  <c r="N43" i="20"/>
  <c r="N49" i="20"/>
  <c r="N36" i="20"/>
  <c r="N41" i="20"/>
  <c r="L41" i="20" s="1"/>
  <c r="N42" i="20"/>
  <c r="N47" i="20"/>
  <c r="N48" i="20"/>
  <c r="L48" i="20" s="1"/>
  <c r="N29" i="20"/>
  <c r="L29" i="20" s="1"/>
  <c r="N35" i="20"/>
  <c r="L14" i="19"/>
  <c r="K39" i="19"/>
  <c r="K40" i="19"/>
  <c r="K11" i="19"/>
  <c r="G29" i="20"/>
  <c r="K29" i="20"/>
  <c r="G30" i="20"/>
  <c r="K30" i="20"/>
  <c r="K40" i="23" l="1"/>
  <c r="K39" i="23"/>
  <c r="K11" i="23"/>
  <c r="L14" i="23"/>
  <c r="L34" i="20"/>
  <c r="L43" i="20"/>
  <c r="M41" i="20"/>
  <c r="M30" i="20"/>
  <c r="M14" i="19"/>
  <c r="L11" i="19"/>
  <c r="L39" i="19"/>
  <c r="L40" i="19"/>
  <c r="L45" i="20"/>
  <c r="L38" i="20"/>
  <c r="A22" i="7"/>
  <c r="E22" i="7" s="1"/>
  <c r="B23" i="7"/>
  <c r="D22" i="7"/>
  <c r="L35" i="20"/>
  <c r="L36" i="20"/>
  <c r="L28" i="20"/>
  <c r="M28" i="20" s="1"/>
  <c r="L39" i="20"/>
  <c r="L32" i="20"/>
  <c r="L49" i="20"/>
  <c r="M49" i="20" s="1"/>
  <c r="L46" i="20"/>
  <c r="L33" i="20"/>
  <c r="E32" i="20"/>
  <c r="I32" i="20"/>
  <c r="H32" i="20" s="1"/>
  <c r="B33" i="20"/>
  <c r="F32" i="20"/>
  <c r="L50" i="20"/>
  <c r="G31" i="20"/>
  <c r="K31" i="20"/>
  <c r="L47" i="20"/>
  <c r="L37" i="20"/>
  <c r="L42" i="20"/>
  <c r="M42" i="20" s="1"/>
  <c r="L31" i="20"/>
  <c r="M31" i="20" s="1"/>
  <c r="L51" i="20"/>
  <c r="L44" i="20"/>
  <c r="L39" i="23" l="1"/>
  <c r="L11" i="23"/>
  <c r="L40" i="23"/>
  <c r="M14" i="23"/>
  <c r="M44" i="20"/>
  <c r="M34" i="20"/>
  <c r="M35" i="20"/>
  <c r="M46" i="20"/>
  <c r="M29" i="20"/>
  <c r="D12" i="20" s="1"/>
  <c r="M37" i="20"/>
  <c r="M51" i="20"/>
  <c r="M47" i="20"/>
  <c r="M43" i="20"/>
  <c r="M32" i="20"/>
  <c r="M36" i="20"/>
  <c r="M50" i="20"/>
  <c r="M39" i="20"/>
  <c r="M45" i="20"/>
  <c r="M38" i="20"/>
  <c r="M48" i="20"/>
  <c r="M40" i="20"/>
  <c r="B34" i="20"/>
  <c r="I33" i="20"/>
  <c r="H33" i="20" s="1"/>
  <c r="E33" i="20"/>
  <c r="F33" i="20"/>
  <c r="M33" i="20"/>
  <c r="A23" i="7"/>
  <c r="E23" i="7" s="1"/>
  <c r="B24" i="7"/>
  <c r="D23" i="7"/>
  <c r="K32" i="20"/>
  <c r="G32" i="20"/>
  <c r="M11" i="19"/>
  <c r="M39" i="19"/>
  <c r="N14" i="19"/>
  <c r="M40" i="19"/>
  <c r="M39" i="23" l="1"/>
  <c r="M11" i="23"/>
  <c r="N14" i="23"/>
  <c r="M40" i="23"/>
  <c r="G9" i="20"/>
  <c r="K33" i="20"/>
  <c r="G33" i="20"/>
  <c r="D22" i="20"/>
  <c r="B25" i="7"/>
  <c r="D24" i="7"/>
  <c r="A24" i="7"/>
  <c r="E24" i="7" s="1"/>
  <c r="N11" i="19"/>
  <c r="N39" i="19"/>
  <c r="N40" i="19"/>
  <c r="O14" i="19"/>
  <c r="B35" i="20"/>
  <c r="E34" i="20"/>
  <c r="I34" i="20"/>
  <c r="H34" i="20" s="1"/>
  <c r="F34" i="20"/>
  <c r="N11" i="23" l="1"/>
  <c r="O14" i="23"/>
  <c r="N40" i="23"/>
  <c r="N39" i="23"/>
  <c r="K34" i="20"/>
  <c r="G34" i="20"/>
  <c r="B36" i="20"/>
  <c r="E35" i="20"/>
  <c r="I35" i="20"/>
  <c r="H35" i="20" s="1"/>
  <c r="F35" i="20"/>
  <c r="D25" i="7"/>
  <c r="A25" i="7"/>
  <c r="E25" i="7" s="1"/>
  <c r="B26" i="7"/>
  <c r="P14" i="19"/>
  <c r="O40" i="19"/>
  <c r="O11" i="19"/>
  <c r="O39" i="19"/>
  <c r="O40" i="23" l="1"/>
  <c r="P14" i="23"/>
  <c r="O39" i="23"/>
  <c r="O11" i="23"/>
  <c r="Q14" i="19"/>
  <c r="P40" i="19"/>
  <c r="P11" i="19"/>
  <c r="P39" i="19"/>
  <c r="A26" i="7"/>
  <c r="E26" i="7" s="1"/>
  <c r="D26" i="7"/>
  <c r="B27" i="7"/>
  <c r="B37" i="20"/>
  <c r="E36" i="20"/>
  <c r="I36" i="20"/>
  <c r="H36" i="20" s="1"/>
  <c r="F36" i="20"/>
  <c r="G35" i="20"/>
  <c r="K35" i="20"/>
  <c r="Q14" i="23" l="1"/>
  <c r="P39" i="23"/>
  <c r="P40" i="23"/>
  <c r="P11" i="23"/>
  <c r="B28" i="7"/>
  <c r="D27" i="7"/>
  <c r="A27" i="7"/>
  <c r="E27" i="7" s="1"/>
  <c r="B38" i="20"/>
  <c r="E37" i="20"/>
  <c r="I37" i="20"/>
  <c r="H37" i="20" s="1"/>
  <c r="F37" i="20"/>
  <c r="K36" i="20"/>
  <c r="G36" i="20"/>
  <c r="R14" i="19"/>
  <c r="Q39" i="19"/>
  <c r="Q40" i="19"/>
  <c r="Q11" i="19"/>
  <c r="Q40" i="23" l="1"/>
  <c r="Q39" i="23"/>
  <c r="Q11" i="23"/>
  <c r="R14" i="23"/>
  <c r="E38" i="20"/>
  <c r="I38" i="20"/>
  <c r="H38" i="20" s="1"/>
  <c r="F38" i="20"/>
  <c r="B39" i="20"/>
  <c r="S14" i="19"/>
  <c r="R39" i="19"/>
  <c r="R40" i="19"/>
  <c r="R11" i="19"/>
  <c r="K37" i="20"/>
  <c r="G37" i="20"/>
  <c r="A28" i="7"/>
  <c r="E28" i="7" s="1"/>
  <c r="B29" i="7"/>
  <c r="D28" i="7"/>
  <c r="R11" i="23" l="1"/>
  <c r="R39" i="23"/>
  <c r="S14" i="23"/>
  <c r="R40" i="23"/>
  <c r="E39" i="20"/>
  <c r="I39" i="20"/>
  <c r="H39" i="20" s="1"/>
  <c r="F39" i="20"/>
  <c r="B40" i="20"/>
  <c r="G3" i="20"/>
  <c r="S11" i="19"/>
  <c r="T14" i="19"/>
  <c r="S39" i="19"/>
  <c r="S40" i="19"/>
  <c r="K38" i="20"/>
  <c r="G38" i="20"/>
  <c r="B30" i="7"/>
  <c r="D29" i="7"/>
  <c r="A29" i="7"/>
  <c r="E29" i="7" s="1"/>
  <c r="S39" i="23" l="1"/>
  <c r="S11" i="23"/>
  <c r="T14" i="23"/>
  <c r="S40" i="23"/>
  <c r="D9" i="20"/>
  <c r="G20" i="20"/>
  <c r="D20" i="20"/>
  <c r="G19" i="20"/>
  <c r="D21" i="20"/>
  <c r="D18" i="20"/>
  <c r="I40" i="20"/>
  <c r="H40" i="20" s="1"/>
  <c r="F40" i="20"/>
  <c r="E40" i="20"/>
  <c r="B41" i="20"/>
  <c r="K39" i="20"/>
  <c r="G39" i="20"/>
  <c r="A30" i="7"/>
  <c r="E30" i="7" s="1"/>
  <c r="D30" i="7"/>
  <c r="T11" i="19"/>
  <c r="U14" i="19"/>
  <c r="T39" i="19"/>
  <c r="T40" i="19"/>
  <c r="T11" i="23" l="1"/>
  <c r="T40" i="23"/>
  <c r="U14" i="23"/>
  <c r="T39" i="23"/>
  <c r="O30" i="20"/>
  <c r="O32" i="20"/>
  <c r="O34" i="20"/>
  <c r="O36" i="20"/>
  <c r="O38" i="20"/>
  <c r="O40" i="20"/>
  <c r="O42" i="20"/>
  <c r="O44" i="20"/>
  <c r="O46" i="20"/>
  <c r="O48" i="20"/>
  <c r="O50" i="20"/>
  <c r="O28" i="20"/>
  <c r="D24" i="20"/>
  <c r="D19" i="20"/>
  <c r="O37" i="20"/>
  <c r="O49" i="20"/>
  <c r="D23" i="20"/>
  <c r="O35" i="20"/>
  <c r="O47" i="20"/>
  <c r="O33" i="20"/>
  <c r="O45" i="20"/>
  <c r="O31" i="20"/>
  <c r="O43" i="20"/>
  <c r="O29" i="20"/>
  <c r="O51" i="20"/>
  <c r="O41" i="20"/>
  <c r="O39" i="20"/>
  <c r="G40" i="20"/>
  <c r="K40" i="20"/>
  <c r="V14" i="19"/>
  <c r="U40" i="19"/>
  <c r="U39" i="19"/>
  <c r="U11" i="19"/>
  <c r="B42" i="20"/>
  <c r="E41" i="20"/>
  <c r="I41" i="20"/>
  <c r="H41" i="20" s="1"/>
  <c r="F41" i="20"/>
  <c r="U40" i="23" l="1"/>
  <c r="V14" i="23"/>
  <c r="U39" i="23"/>
  <c r="U11" i="23"/>
  <c r="W14" i="19"/>
  <c r="V11" i="19"/>
  <c r="V40" i="19"/>
  <c r="V39" i="19"/>
  <c r="E42" i="20"/>
  <c r="B43" i="20"/>
  <c r="I42" i="20"/>
  <c r="H42" i="20" s="1"/>
  <c r="F42" i="20"/>
  <c r="G41" i="20"/>
  <c r="K41" i="20"/>
  <c r="W14" i="23" l="1"/>
  <c r="V39" i="23"/>
  <c r="V40" i="23"/>
  <c r="V11" i="23"/>
  <c r="K42" i="20"/>
  <c r="G42" i="20"/>
  <c r="E43" i="20"/>
  <c r="B44" i="20"/>
  <c r="I43" i="20"/>
  <c r="H43" i="20" s="1"/>
  <c r="F43" i="20"/>
  <c r="X14" i="19"/>
  <c r="W39" i="19"/>
  <c r="W11" i="19"/>
  <c r="W40" i="19"/>
  <c r="W40" i="23" l="1"/>
  <c r="W39" i="23"/>
  <c r="W11" i="23"/>
  <c r="X14" i="23"/>
  <c r="Y14" i="19"/>
  <c r="X39" i="19"/>
  <c r="X11" i="19"/>
  <c r="X40" i="19"/>
  <c r="K43" i="20"/>
  <c r="G43" i="20"/>
  <c r="B45" i="20"/>
  <c r="I44" i="20"/>
  <c r="H44" i="20" s="1"/>
  <c r="F44" i="20"/>
  <c r="E44" i="20"/>
  <c r="X39" i="23" l="1"/>
  <c r="X11" i="23"/>
  <c r="Y14" i="23"/>
  <c r="X40" i="23"/>
  <c r="K44" i="20"/>
  <c r="G44" i="20"/>
  <c r="E45" i="20"/>
  <c r="I45" i="20"/>
  <c r="H45" i="20" s="1"/>
  <c r="F45" i="20"/>
  <c r="B46" i="20"/>
  <c r="Y11" i="19"/>
  <c r="Z14" i="19"/>
  <c r="Y39" i="19"/>
  <c r="Y40" i="19"/>
  <c r="Y39" i="23" l="1"/>
  <c r="Y11" i="23"/>
  <c r="Z14" i="23"/>
  <c r="Y40" i="23"/>
  <c r="I46" i="20"/>
  <c r="H46" i="20" s="1"/>
  <c r="F46" i="20"/>
  <c r="E46" i="20"/>
  <c r="B47" i="20"/>
  <c r="K45" i="20"/>
  <c r="G45" i="20"/>
  <c r="Z11" i="19"/>
  <c r="AA14" i="19"/>
  <c r="Z39" i="19"/>
  <c r="Z40" i="19"/>
  <c r="Z11" i="23" l="1"/>
  <c r="AA14" i="23"/>
  <c r="Z40" i="23"/>
  <c r="Z39" i="23"/>
  <c r="AB14" i="19"/>
  <c r="AA40" i="19"/>
  <c r="AA11" i="19"/>
  <c r="AA39" i="19"/>
  <c r="B48" i="20"/>
  <c r="E47" i="20"/>
  <c r="F47" i="20"/>
  <c r="I47" i="20"/>
  <c r="H47" i="20" s="1"/>
  <c r="G46" i="20"/>
  <c r="K46" i="20"/>
  <c r="AB14" i="23" l="1"/>
  <c r="AA40" i="23"/>
  <c r="AA11" i="23"/>
  <c r="AA39" i="23"/>
  <c r="E48" i="20"/>
  <c r="B49" i="20"/>
  <c r="I48" i="20"/>
  <c r="H48" i="20" s="1"/>
  <c r="F48" i="20"/>
  <c r="G47" i="20"/>
  <c r="K47" i="20"/>
  <c r="AC14" i="19"/>
  <c r="AB40" i="19"/>
  <c r="AB11" i="19"/>
  <c r="AB39" i="19"/>
  <c r="AC14" i="23" l="1"/>
  <c r="AB40" i="23"/>
  <c r="AB39" i="23"/>
  <c r="AB11" i="23"/>
  <c r="AC44" i="19"/>
  <c r="AC52" i="19"/>
  <c r="AC18" i="19"/>
  <c r="AC21" i="19"/>
  <c r="AC24" i="19"/>
  <c r="AC27" i="19"/>
  <c r="AC30" i="19"/>
  <c r="AC33" i="19"/>
  <c r="AC47" i="19"/>
  <c r="AC62" i="19"/>
  <c r="AC59" i="19"/>
  <c r="AD14" i="19"/>
  <c r="AC63" i="19"/>
  <c r="AC60" i="19"/>
  <c r="AC43" i="19"/>
  <c r="AC51" i="19"/>
  <c r="AC61" i="19"/>
  <c r="AC42" i="19"/>
  <c r="AC54" i="19"/>
  <c r="AC57" i="19"/>
  <c r="AC29" i="19"/>
  <c r="AC34" i="19"/>
  <c r="AC37" i="19"/>
  <c r="AC39" i="19"/>
  <c r="AC45" i="19"/>
  <c r="AC55" i="19"/>
  <c r="AC19" i="19"/>
  <c r="AC26" i="19"/>
  <c r="AC31" i="19"/>
  <c r="AC46" i="19"/>
  <c r="AC56" i="19"/>
  <c r="AC23" i="19"/>
  <c r="AC28" i="19"/>
  <c r="AC36" i="19"/>
  <c r="AC40" i="19"/>
  <c r="AC49" i="19"/>
  <c r="AC25" i="19"/>
  <c r="AC50" i="19"/>
  <c r="AC53" i="19"/>
  <c r="AC20" i="19"/>
  <c r="AC22" i="19"/>
  <c r="AC32" i="19"/>
  <c r="AC35" i="19"/>
  <c r="AC38" i="19"/>
  <c r="AC17" i="19"/>
  <c r="AC10" i="19" s="1"/>
  <c r="AC11" i="19"/>
  <c r="K48" i="20"/>
  <c r="G48" i="20"/>
  <c r="E49" i="20"/>
  <c r="B50" i="20"/>
  <c r="I49" i="20"/>
  <c r="H49" i="20" s="1"/>
  <c r="F49" i="20"/>
  <c r="AC61" i="23" l="1"/>
  <c r="AC57" i="23"/>
  <c r="AC54" i="23"/>
  <c r="AC51" i="23"/>
  <c r="AC47" i="23"/>
  <c r="AC44" i="23"/>
  <c r="AC40" i="23"/>
  <c r="AC36" i="23"/>
  <c r="AC33" i="23"/>
  <c r="AC30" i="23"/>
  <c r="AC27" i="23"/>
  <c r="AC24" i="23"/>
  <c r="AC21" i="23"/>
  <c r="AC18" i="23"/>
  <c r="AC63" i="23"/>
  <c r="AC56" i="23"/>
  <c r="AC53" i="23"/>
  <c r="AC50" i="23"/>
  <c r="AC46" i="23"/>
  <c r="AC43" i="23"/>
  <c r="AC39" i="23"/>
  <c r="AC34" i="23"/>
  <c r="AC31" i="23"/>
  <c r="AC22" i="23"/>
  <c r="AC11" i="23"/>
  <c r="AC60" i="23"/>
  <c r="AC37" i="23"/>
  <c r="AC28" i="23"/>
  <c r="AC25" i="23"/>
  <c r="AC19" i="23"/>
  <c r="AC62" i="23"/>
  <c r="AC59" i="23"/>
  <c r="AC55" i="23"/>
  <c r="AC52" i="23"/>
  <c r="AC49" i="23"/>
  <c r="AC45" i="23"/>
  <c r="AC42" i="23"/>
  <c r="AD14" i="23"/>
  <c r="AC20" i="23"/>
  <c r="AC35" i="23"/>
  <c r="AC26" i="23"/>
  <c r="AC32" i="23"/>
  <c r="AC23" i="23"/>
  <c r="AC38" i="23"/>
  <c r="AC29" i="23"/>
  <c r="AC17" i="23"/>
  <c r="AC10" i="23" s="1"/>
  <c r="AD62" i="19"/>
  <c r="AD59" i="19"/>
  <c r="AD17" i="19"/>
  <c r="AD10" i="19" s="1"/>
  <c r="D11" i="19" s="1"/>
  <c r="AD49" i="19"/>
  <c r="AD55" i="19"/>
  <c r="AD61" i="19"/>
  <c r="AD46" i="19"/>
  <c r="AD54" i="19"/>
  <c r="AD19" i="19"/>
  <c r="AD22" i="19"/>
  <c r="AD45" i="19"/>
  <c r="AD11" i="19"/>
  <c r="AD24" i="19"/>
  <c r="AD32" i="19"/>
  <c r="AD60" i="19"/>
  <c r="AD50" i="19"/>
  <c r="AD57" i="19"/>
  <c r="AD29" i="19"/>
  <c r="AD34" i="19"/>
  <c r="AD37" i="19"/>
  <c r="AD39" i="19"/>
  <c r="AD51" i="19"/>
  <c r="AD21" i="19"/>
  <c r="AD26" i="19"/>
  <c r="AD31" i="19"/>
  <c r="AD42" i="19"/>
  <c r="AD52" i="19"/>
  <c r="AD23" i="19"/>
  <c r="AD28" i="19"/>
  <c r="AD33" i="19"/>
  <c r="AD36" i="19"/>
  <c r="AD40" i="19"/>
  <c r="AD27" i="19"/>
  <c r="AD56" i="19"/>
  <c r="AD43" i="19"/>
  <c r="AD18" i="19"/>
  <c r="AD20" i="19"/>
  <c r="AD25" i="19"/>
  <c r="AD30" i="19"/>
  <c r="AD53" i="19"/>
  <c r="AD63" i="19"/>
  <c r="AD38" i="19"/>
  <c r="AD44" i="19"/>
  <c r="AD35" i="19"/>
  <c r="AD47" i="19"/>
  <c r="K49" i="20"/>
  <c r="G49" i="20"/>
  <c r="B51" i="20"/>
  <c r="I50" i="20"/>
  <c r="H50" i="20" s="1"/>
  <c r="F50" i="20"/>
  <c r="E50" i="20"/>
  <c r="AD11" i="23" l="1"/>
  <c r="AD59" i="23"/>
  <c r="AD38" i="23"/>
  <c r="AD35" i="23"/>
  <c r="AD26" i="23"/>
  <c r="AD23" i="23"/>
  <c r="AD17" i="23"/>
  <c r="AD10" i="23" s="1"/>
  <c r="D11" i="23" s="1"/>
  <c r="AD63" i="23"/>
  <c r="AD60" i="23"/>
  <c r="AD56" i="23"/>
  <c r="AD53" i="23"/>
  <c r="AD50" i="23"/>
  <c r="AD46" i="23"/>
  <c r="AD43" i="23"/>
  <c r="AD39" i="23"/>
  <c r="AD37" i="23"/>
  <c r="AD34" i="23"/>
  <c r="AD31" i="23"/>
  <c r="AD28" i="23"/>
  <c r="AD25" i="23"/>
  <c r="AD22" i="23"/>
  <c r="AD19" i="23"/>
  <c r="AD62" i="23"/>
  <c r="AD55" i="23"/>
  <c r="AD52" i="23"/>
  <c r="AD49" i="23"/>
  <c r="AD45" i="23"/>
  <c r="AD42" i="23"/>
  <c r="AD32" i="23"/>
  <c r="AD29" i="23"/>
  <c r="AD20" i="23"/>
  <c r="AD44" i="23"/>
  <c r="AD30" i="23"/>
  <c r="AD21" i="23"/>
  <c r="AD36" i="23"/>
  <c r="AD27" i="23"/>
  <c r="AD24" i="23"/>
  <c r="AD47" i="23"/>
  <c r="AD61" i="23"/>
  <c r="AD40" i="23"/>
  <c r="AD57" i="23"/>
  <c r="AD18" i="23"/>
  <c r="AD54" i="23"/>
  <c r="AD51" i="23"/>
  <c r="AD33" i="23"/>
  <c r="F13" i="19"/>
  <c r="D13" i="19"/>
  <c r="K50" i="20"/>
  <c r="G50" i="20"/>
  <c r="E51" i="20"/>
  <c r="I51" i="20"/>
  <c r="H51" i="20" s="1"/>
  <c r="F51" i="20"/>
  <c r="D13" i="23" l="1"/>
  <c r="F13" i="23"/>
  <c r="L12" i="23" s="1"/>
  <c r="J12" i="19"/>
  <c r="S12" i="19"/>
  <c r="Y12" i="19"/>
  <c r="U12" i="19"/>
  <c r="L12" i="19"/>
  <c r="M12" i="19"/>
  <c r="AC12" i="19"/>
  <c r="G12" i="19"/>
  <c r="AB12" i="19"/>
  <c r="W12" i="19"/>
  <c r="O12" i="19"/>
  <c r="I12" i="19"/>
  <c r="AD12" i="19"/>
  <c r="Z12" i="19"/>
  <c r="X12" i="19"/>
  <c r="V12" i="19"/>
  <c r="Q12" i="19"/>
  <c r="K51" i="20"/>
  <c r="G51" i="20"/>
  <c r="T12" i="19"/>
  <c r="R12" i="19"/>
  <c r="N12" i="19"/>
  <c r="P12" i="19"/>
  <c r="K12" i="19"/>
  <c r="AA12" i="19"/>
  <c r="H12" i="19"/>
  <c r="F12" i="19"/>
  <c r="J12" i="23" l="1"/>
  <c r="P12" i="23"/>
  <c r="F12" i="23"/>
  <c r="X12" i="23"/>
  <c r="I12" i="23"/>
  <c r="AA12" i="23"/>
  <c r="Q12" i="23"/>
  <c r="H12" i="23"/>
  <c r="N12" i="23"/>
  <c r="K12" i="23"/>
  <c r="AC12" i="23"/>
  <c r="Y12" i="23"/>
  <c r="R12" i="23"/>
  <c r="G12" i="23"/>
  <c r="O12" i="23"/>
  <c r="V12" i="23"/>
  <c r="AD12" i="23"/>
  <c r="M12" i="23"/>
  <c r="U12" i="23"/>
  <c r="AB12" i="23"/>
  <c r="S12" i="23"/>
  <c r="Z12" i="23"/>
  <c r="T12" i="23"/>
  <c r="W12" i="23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<sst xmlns="http://schemas.openxmlformats.org/spreadsheetml/2006/main" count="173" uniqueCount="110">
  <si>
    <t>Goal</t>
  </si>
  <si>
    <t>Start</t>
  </si>
  <si>
    <t>End</t>
  </si>
  <si>
    <t>Status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</si>
  <si>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</si>
  <si>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</si>
  <si>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</si>
  <si>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</si>
  <si>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</si>
  <si>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</si>
  <si>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</si>
  <si>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</si>
  <si>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</si>
  <si>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Totals</t>
  </si>
  <si>
    <t>Size</t>
  </si>
  <si>
    <t>Planned</t>
  </si>
  <si>
    <t>Unallocated stories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</si>
  <si>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</si>
  <si>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</si>
  <si>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</si>
  <si>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</si>
  <si>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</si>
  <si>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</si>
  <si>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</si>
  <si>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</si>
  <si>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</si>
  <si>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</si>
  <si>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</si>
  <si>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</si>
  <si>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</si>
  <si>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</si>
  <si>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</si>
  <si>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</si>
  <si>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</si>
  <si>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</si>
  <si>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</si>
  <si>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</si>
  <si>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</si>
  <si>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</si>
  <si>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</si>
  <si>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</si>
  <si>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</si>
  <si>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</si>
  <si>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</si>
  <si>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</si>
  <si>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</si>
  <si>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</si>
  <si>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</si>
  <si>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</si>
  <si>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</si>
  <si>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</si>
  <si>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</si>
  <si>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</si>
  <si>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</si>
  <si>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</si>
  <si>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</si>
  <si>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</si>
  <si>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</si>
  <si>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</si>
  <si>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</si>
  <si>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</si>
  <si>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</si>
  <si>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</si>
  <si>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</si>
  <si>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</si>
  <si>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</si>
  <si>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</si>
  <si>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</si>
  <si>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Ongoing</t>
  </si>
  <si>
    <t>Release Plan</t>
  </si>
  <si>
    <t>Released</t>
  </si>
  <si>
    <t>Release</t>
  </si>
  <si>
    <t>User Stories sammeln und Spezifikation fertigstellen</t>
  </si>
  <si>
    <t>UML Diagramme anfertigen</t>
  </si>
  <si>
    <t>Dokumentation zusammenführen, Präsentation erstellen</t>
  </si>
  <si>
    <t>Backlog</t>
  </si>
  <si>
    <t>Backlog Burndown Chart</t>
  </si>
  <si>
    <t>Team</t>
  </si>
  <si>
    <t>Product Owner</t>
  </si>
  <si>
    <t>Benjamin Ziegler</t>
  </si>
  <si>
    <t>Stakeholder</t>
  </si>
  <si>
    <t>Miroslav Juric</t>
  </si>
  <si>
    <t>Marc Schöchlin</t>
  </si>
  <si>
    <t>Developers</t>
  </si>
  <si>
    <t>Peter Bühler</t>
  </si>
  <si>
    <t>Lucas Vorpahl</t>
  </si>
  <si>
    <t>Dennis Hieber</t>
  </si>
  <si>
    <t>Scrum Master</t>
  </si>
  <si>
    <t>Setup Git Repo und Scrum Tool</t>
  </si>
  <si>
    <t>User Stories mit Kunde definieren und Spezi. Erstellen</t>
  </si>
  <si>
    <t>Erste Use Cases modellieren</t>
  </si>
  <si>
    <t>Klassendiagramme und Sequenzdiagramme modellieren</t>
  </si>
  <si>
    <t>Präsentation erstellen</t>
  </si>
  <si>
    <t>Git Repo anlegen</t>
  </si>
  <si>
    <t>Git Repo anlegen um eine Versionskontrolle zu ermöglichen.</t>
  </si>
  <si>
    <t>Die verschiedenen möglichen SCRUM Tools sollen untersucht werden und das, am besten in das Projekt passende, herausgesucht und konfiguriert werden.</t>
  </si>
  <si>
    <t>User Stories definieren</t>
  </si>
  <si>
    <t>Spezifikation aus User Stories erstellen</t>
  </si>
  <si>
    <t>Use Case "Strich hinzufügen" erstellen</t>
  </si>
  <si>
    <t>Use Case "Passwortschutz (de)aktivieren" erstellen</t>
  </si>
  <si>
    <t>Use Case "Benutzerverwaltung" erstellen</t>
  </si>
  <si>
    <t>Use Case "Kostenberechnung" erstellen</t>
  </si>
  <si>
    <t>Klassendiagramm "Coffee Manager" erstellen</t>
  </si>
  <si>
    <t>Soll die Klassen Strichliste, Benutzer und Strich modellieren</t>
  </si>
  <si>
    <t>Sequenzdiagramm "Strich hinzufügen" erstellen</t>
  </si>
  <si>
    <t>Sequenzdiagramm "Strichliste bearbeiten" erstellen</t>
  </si>
  <si>
    <t>Informationen für Präsentation zusammentragen</t>
  </si>
  <si>
    <t>SCRUM Tools evaluieren und Konfigurieren</t>
  </si>
  <si>
    <t>Scrumwise Daten exportieren in Excelsheet</t>
  </si>
  <si>
    <t>Backlog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</si>
</sst>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10" fillId="0" borderId="2" xfId="0" applyFont="1" applyBorder="1"/>
    <xf numFmtId="0" fontId="10" fillId="0" borderId="3" xfId="0" applyFont="1" applyBorder="1"/>
    <xf numFmtId="0" fontId="0" fillId="0" borderId="0" xfId="0" applyFill="1" applyBorder="1"/>
    <xf numFmtId="0" fontId="4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Border="1"/>
    <xf numFmtId="0" fontId="10" fillId="0" borderId="3" xfId="0" applyNumberFormat="1" applyFont="1" applyFill="1" applyBorder="1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Standard" xfId="0" builtinId="0"/>
  </cellStyles>
  <dxfs count="2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theme="4" tint="0.3999450666829432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lor theme="1"/>
        <name val="Calibri Light"/>
        <scheme val="none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8640"/>
        <c:axId val="11453824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4.1666666666666661</c:v>
                </c:pt>
                <c:pt idx="1">
                  <c:v>2.6666666666666665</c:v>
                </c:pt>
                <c:pt idx="2">
                  <c:v>1.166666666666667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8640"/>
        <c:axId val="114538248"/>
      </c:lineChart>
      <c:catAx>
        <c:axId val="11453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38248"/>
        <c:crosses val="autoZero"/>
        <c:auto val="1"/>
        <c:lblAlgn val="ctr"/>
        <c:lblOffset val="100"/>
        <c:noMultiLvlLbl val="0"/>
      </c:catAx>
      <c:valAx>
        <c:axId val="1145382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6680"/>
        <c:axId val="11453981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4.1666666666666661</c:v>
                </c:pt>
                <c:pt idx="1">
                  <c:v>2.6666666666666665</c:v>
                </c:pt>
                <c:pt idx="2">
                  <c:v>1.166666666666667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6680"/>
        <c:axId val="114539816"/>
      </c:lineChart>
      <c:catAx>
        <c:axId val="114536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39816"/>
        <c:crosses val="autoZero"/>
        <c:auto val="1"/>
        <c:lblAlgn val="ctr"/>
        <c:lblOffset val="100"/>
        <c:noMultiLvlLbl val="0"/>
      </c:catAx>
      <c:valAx>
        <c:axId val="1145398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6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CA"/>
              <a:t>Velocity and Remaining Work</a:t>
            </a:r>
          </a:p>
        </c:rich>
      </c:tx>
      <c:layout>
        <c:manualLayout>
          <c:xMode val="edge"/>
          <c:yMode val="edge"/>
          <c:x val="0.20739240506329115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19050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3"/>
          <c:spPr>
            <a:ln w="19050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19050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114537072"/>
        <c:axId val="114537464"/>
      </c:lineChart>
      <c:catAx>
        <c:axId val="11453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7464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1453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CA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7087216"/>
        <c:axId val="117086824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7216"/>
        <c:axId val="117086824"/>
      </c:lineChart>
      <c:catAx>
        <c:axId val="11708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08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08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08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65E-2"/>
          <c:y val="0.87392672413190053"/>
          <c:w val="0.852156911893721"/>
          <c:h val="0.106017340304525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opLeftCell="A4" workbookViewId="0">
      <selection activeCell="C8" sqref="C8"/>
    </sheetView>
  </sheetViews>
  <sheetFormatPr baseColWidth="10" defaultRowHeight="12.75" x14ac:dyDescent="0.2"/>
  <cols>
    <col min="1" max="1" width="20.7109375" customWidth="1"/>
    <col min="2" max="2" width="22.85546875" customWidth="1"/>
  </cols>
  <sheetData>
    <row r="2" spans="1:2" ht="18" x14ac:dyDescent="0.25">
      <c r="A2" s="66" t="s">
        <v>77</v>
      </c>
    </row>
    <row r="4" spans="1:2" x14ac:dyDescent="0.2">
      <c r="A4" s="1" t="s">
        <v>80</v>
      </c>
      <c r="B4" s="71" t="s">
        <v>81</v>
      </c>
    </row>
    <row r="6" spans="1:2" x14ac:dyDescent="0.2">
      <c r="A6" s="1" t="s">
        <v>78</v>
      </c>
      <c r="B6" s="71" t="s">
        <v>79</v>
      </c>
    </row>
    <row r="8" spans="1:2" x14ac:dyDescent="0.2">
      <c r="A8" s="1" t="s">
        <v>87</v>
      </c>
      <c r="B8" s="71" t="s">
        <v>82</v>
      </c>
    </row>
    <row r="10" spans="1:2" x14ac:dyDescent="0.2">
      <c r="A10" s="1" t="s">
        <v>83</v>
      </c>
      <c r="B10" s="71" t="s">
        <v>84</v>
      </c>
    </row>
    <row r="11" spans="1:2" x14ac:dyDescent="0.2">
      <c r="B11" s="71" t="s">
        <v>85</v>
      </c>
    </row>
    <row r="12" spans="1:2" x14ac:dyDescent="0.2">
      <c r="B12" s="71" t="s">
        <v>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workbookViewId="0">
      <selection activeCell="N25" sqref="N25"/>
    </sheetView>
  </sheetViews>
  <sheetFormatPr baseColWidth="10" defaultRowHeight="12.75" x14ac:dyDescent="0.2"/>
  <cols>
    <col min="1" max="1" width="7.85546875" customWidth="1"/>
    <col min="2" max="2" width="10.42578125" customWidth="1"/>
    <col min="3" max="3" width="9.5703125" customWidth="1"/>
    <col min="4" max="5" width="10.7109375" customWidth="1"/>
    <col min="6" max="6" width="9.140625" customWidth="1"/>
    <col min="7" max="7" width="13.7109375" style="2" customWidth="1"/>
    <col min="8" max="8" width="59.140625" customWidth="1"/>
    <col min="9" max="9" width="10.7109375" customWidth="1"/>
    <col min="10" max="256" width="9.140625" customWidth="1"/>
  </cols>
  <sheetData>
    <row r="1" spans="1:10" ht="18" x14ac:dyDescent="0.25">
      <c r="A1" s="66" t="s">
        <v>69</v>
      </c>
    </row>
    <row r="3" spans="1:10" x14ac:dyDescent="0.2">
      <c r="A3" s="8" t="s">
        <v>71</v>
      </c>
      <c r="B3" s="35" t="s">
        <v>1</v>
      </c>
      <c r="C3" s="36" t="s">
        <v>25</v>
      </c>
      <c r="D3" s="36" t="s">
        <v>2</v>
      </c>
      <c r="E3" s="35" t="s">
        <v>14</v>
      </c>
      <c r="F3" s="9" t="s">
        <v>3</v>
      </c>
      <c r="G3" s="35" t="s">
        <v>71</v>
      </c>
      <c r="H3" s="10" t="s">
        <v>0</v>
      </c>
      <c r="I3" s="1"/>
      <c r="J3" s="1"/>
    </row>
    <row r="4" spans="1:10" x14ac:dyDescent="0.2">
      <c r="A4" s="11">
        <v>1</v>
      </c>
      <c r="B4" s="32">
        <v>42418</v>
      </c>
      <c r="C4" s="18">
        <v>29</v>
      </c>
      <c r="D4" s="32">
        <f t="shared" ref="D4:D10" si="0">IF(OR(B4="",C4=""),"",B4+C4-1)</f>
        <v>42446</v>
      </c>
      <c r="E4" s="15">
        <f>IF(A4="","",SUMIF(I$16:I$30,'Release Plan'!A4,E$16:E$30))</f>
        <v>3</v>
      </c>
      <c r="F4" s="4" t="s">
        <v>70</v>
      </c>
      <c r="G4" s="37">
        <v>42445</v>
      </c>
      <c r="H4" s="67" t="s">
        <v>72</v>
      </c>
    </row>
    <row r="5" spans="1:10" x14ac:dyDescent="0.2">
      <c r="A5" s="12">
        <v>2</v>
      </c>
      <c r="B5" s="29">
        <v>42446</v>
      </c>
      <c r="C5" s="15">
        <v>29</v>
      </c>
      <c r="D5" s="29">
        <f t="shared" si="0"/>
        <v>42474</v>
      </c>
      <c r="E5" s="15">
        <f>IF(A5="","",SUMIF(I$16:I$30,'Release Plan'!A5,E$16:E$30))</f>
        <v>12</v>
      </c>
      <c r="F5" s="4" t="s">
        <v>70</v>
      </c>
      <c r="G5" s="38">
        <v>42488</v>
      </c>
      <c r="H5" s="68" t="s">
        <v>73</v>
      </c>
    </row>
    <row r="6" spans="1:10" x14ac:dyDescent="0.2">
      <c r="A6" s="12">
        <v>3</v>
      </c>
      <c r="B6" s="29">
        <v>42474</v>
      </c>
      <c r="C6" s="15">
        <v>15</v>
      </c>
      <c r="D6" s="29">
        <f t="shared" si="0"/>
        <v>42488</v>
      </c>
      <c r="E6" s="15">
        <f>IF(A6="","",SUMIF(I$16:I$30,'Release Plan'!A6,E$16:E$30))</f>
        <v>5</v>
      </c>
      <c r="F6" s="69" t="s">
        <v>68</v>
      </c>
      <c r="G6" s="38">
        <v>42488</v>
      </c>
      <c r="H6" s="68" t="s">
        <v>74</v>
      </c>
    </row>
    <row r="7" spans="1:10" x14ac:dyDescent="0.2">
      <c r="A7" s="12"/>
      <c r="B7" s="29"/>
      <c r="C7" s="15" t="str">
        <f t="shared" ref="C7:C10" si="1">IF(A7="","",SUMIF(I$16:I$30,A7,C$16:C$30))</f>
        <v/>
      </c>
      <c r="D7" s="29" t="str">
        <f t="shared" si="0"/>
        <v/>
      </c>
      <c r="E7" s="15" t="str">
        <f>IF(A7="","",SUMIF(I$16:I$30,'Release Plan'!A7,E$16:E$30))</f>
        <v/>
      </c>
      <c r="F7" s="4"/>
      <c r="G7" s="38"/>
      <c r="H7" s="6"/>
    </row>
    <row r="8" spans="1:10" x14ac:dyDescent="0.2">
      <c r="A8" s="12"/>
      <c r="B8" s="29"/>
      <c r="C8" s="15" t="str">
        <f t="shared" si="1"/>
        <v/>
      </c>
      <c r="D8" s="29" t="str">
        <f t="shared" si="0"/>
        <v/>
      </c>
      <c r="E8" s="15" t="str">
        <f>IF(A8="","",SUMIF(I$16:I$30,'Release Plan'!A8,E$16:E$30))</f>
        <v/>
      </c>
      <c r="F8" s="4"/>
      <c r="G8" s="38"/>
      <c r="H8" s="6"/>
    </row>
    <row r="9" spans="1:10" x14ac:dyDescent="0.2">
      <c r="A9" s="12"/>
      <c r="B9" s="29"/>
      <c r="C9" s="15" t="str">
        <f t="shared" si="1"/>
        <v/>
      </c>
      <c r="D9" s="29" t="str">
        <f t="shared" si="0"/>
        <v/>
      </c>
      <c r="E9" s="15" t="str">
        <f>IF(A9="","",SUMIF(I$16:I$30,'Release Plan'!A9,E$16:E$30))</f>
        <v/>
      </c>
      <c r="F9" s="4"/>
      <c r="G9" s="38"/>
      <c r="H9" s="6"/>
    </row>
    <row r="10" spans="1:10" x14ac:dyDescent="0.2">
      <c r="A10" s="13"/>
      <c r="B10" s="30"/>
      <c r="C10" s="31" t="str">
        <f t="shared" si="1"/>
        <v/>
      </c>
      <c r="D10" s="30" t="str">
        <f t="shared" si="0"/>
        <v/>
      </c>
      <c r="E10" s="31" t="str">
        <f>IF(A10="","",SUMIF(I$16:I$30,'Release Plan'!A10,E$16:E$30))</f>
        <v/>
      </c>
      <c r="F10" s="5"/>
      <c r="G10" s="39"/>
      <c r="H10" s="7"/>
    </row>
    <row r="11" spans="1:10" x14ac:dyDescent="0.2">
      <c r="A11" s="26"/>
    </row>
    <row r="13" spans="1:10" ht="18" x14ac:dyDescent="0.25">
      <c r="A13" s="14" t="s">
        <v>12</v>
      </c>
    </row>
    <row r="15" spans="1:10" x14ac:dyDescent="0.2">
      <c r="A15" s="8" t="s">
        <v>11</v>
      </c>
      <c r="B15" s="35" t="s">
        <v>1</v>
      </c>
      <c r="C15" s="35" t="s">
        <v>25</v>
      </c>
      <c r="D15" s="35" t="s">
        <v>2</v>
      </c>
      <c r="E15" s="35" t="s">
        <v>14</v>
      </c>
      <c r="F15" s="9" t="s">
        <v>3</v>
      </c>
      <c r="G15" s="35" t="s">
        <v>71</v>
      </c>
      <c r="H15" s="10" t="s">
        <v>0</v>
      </c>
      <c r="I15" s="41" t="s">
        <v>71</v>
      </c>
      <c r="J15" s="1"/>
    </row>
    <row r="16" spans="1:10" x14ac:dyDescent="0.2">
      <c r="A16" s="15">
        <v>1</v>
      </c>
      <c r="B16" s="64">
        <v>42419</v>
      </c>
      <c r="C16" s="20">
        <v>7</v>
      </c>
      <c r="D16" s="19">
        <f t="shared" ref="D16:D30" si="2">IF(AND(B16&lt;&gt;"",C16&lt;&gt;""),B16+C16-1,"")</f>
        <v>42425</v>
      </c>
      <c r="E16" s="15">
        <v>1</v>
      </c>
      <c r="F16" s="72" t="s">
        <v>70</v>
      </c>
      <c r="G16" s="64">
        <v>42418</v>
      </c>
      <c r="H16" s="73" t="s">
        <v>88</v>
      </c>
      <c r="I16" s="27">
        <v>1</v>
      </c>
    </row>
    <row r="17" spans="1:9" x14ac:dyDescent="0.2">
      <c r="A17" s="15">
        <v>2</v>
      </c>
      <c r="B17" s="19">
        <f>IF(AND(B16&lt;&gt;"",C16&lt;&gt;"",C17&lt;&gt;""),B16+C16,"")</f>
        <v>42426</v>
      </c>
      <c r="C17" s="20">
        <v>32</v>
      </c>
      <c r="D17" s="19">
        <f t="shared" si="2"/>
        <v>42457</v>
      </c>
      <c r="E17" s="15">
        <v>2</v>
      </c>
      <c r="F17" s="4" t="s">
        <v>70</v>
      </c>
      <c r="G17" s="64">
        <v>42425</v>
      </c>
      <c r="H17" s="73" t="s">
        <v>89</v>
      </c>
      <c r="I17" s="27">
        <v>1</v>
      </c>
    </row>
    <row r="18" spans="1:9" x14ac:dyDescent="0.2">
      <c r="A18" s="15">
        <v>3</v>
      </c>
      <c r="B18" s="19">
        <f>IF(AND(B17&lt;&gt;"",C17&lt;&gt;"",C18&lt;&gt;""),B17+C17,"")</f>
        <v>42458</v>
      </c>
      <c r="C18" s="20">
        <v>23</v>
      </c>
      <c r="D18" s="19">
        <f>IF(AND(B18&lt;&gt;"",C18&lt;&gt;""),B18+C18-1,"")</f>
        <v>42480</v>
      </c>
      <c r="E18" s="15">
        <v>6</v>
      </c>
      <c r="F18" s="72" t="s">
        <v>70</v>
      </c>
      <c r="G18" s="64">
        <v>42446</v>
      </c>
      <c r="H18" s="73" t="s">
        <v>90</v>
      </c>
      <c r="I18" s="27">
        <v>2</v>
      </c>
    </row>
    <row r="19" spans="1:9" x14ac:dyDescent="0.2">
      <c r="A19" s="15">
        <v>4</v>
      </c>
      <c r="B19" s="19">
        <f>IF(AND(B18&lt;&gt;"",C18&lt;&gt;"",C19&lt;&gt;""),B18+C18,"")</f>
        <v>42481</v>
      </c>
      <c r="C19" s="20">
        <v>9</v>
      </c>
      <c r="D19" s="19">
        <f>IF(AND(B19&lt;&gt;"",C19&lt;&gt;""),B19+C19-1,"")</f>
        <v>42489</v>
      </c>
      <c r="E19" s="15">
        <v>6</v>
      </c>
      <c r="F19" s="4" t="s">
        <v>70</v>
      </c>
      <c r="G19" s="64">
        <v>42465</v>
      </c>
      <c r="H19" s="73" t="s">
        <v>91</v>
      </c>
      <c r="I19" s="27">
        <v>2</v>
      </c>
    </row>
    <row r="20" spans="1:9" x14ac:dyDescent="0.2">
      <c r="A20" s="15">
        <v>5</v>
      </c>
      <c r="B20" s="19">
        <f>IF(AND(B19&lt;&gt;"",C19&lt;&gt;"",C20&lt;&gt;""),B19+C19,"")</f>
        <v>42490</v>
      </c>
      <c r="C20" s="20">
        <v>21</v>
      </c>
      <c r="D20" s="19">
        <f>IF(AND(B20&lt;&gt;"",C20&lt;&gt;""),B20+C20-1,"")</f>
        <v>42510</v>
      </c>
      <c r="E20" s="15">
        <v>5</v>
      </c>
      <c r="F20" s="4" t="s">
        <v>68</v>
      </c>
      <c r="G20" s="64">
        <v>42474</v>
      </c>
      <c r="H20" s="73" t="s">
        <v>92</v>
      </c>
      <c r="I20" s="27">
        <v>3</v>
      </c>
    </row>
    <row r="21" spans="1:9" x14ac:dyDescent="0.2">
      <c r="A21" s="15">
        <v>6</v>
      </c>
      <c r="B21" s="19" t="str">
        <f>IF(AND(B20&lt;&gt;"",C20&lt;&gt;"",C21&lt;&gt;""),B20+C20,"")</f>
        <v/>
      </c>
      <c r="C21" s="20"/>
      <c r="D21" s="19" t="str">
        <f>IF(AND(B21&lt;&gt;"",C21&lt;&gt;""),B21+C21-1,"")</f>
        <v/>
      </c>
      <c r="E21" s="15"/>
      <c r="F21" s="4"/>
      <c r="G21" s="20"/>
      <c r="H21" s="73"/>
      <c r="I21" s="27"/>
    </row>
    <row r="22" spans="1:9" x14ac:dyDescent="0.2">
      <c r="A22" s="15" t="str">
        <f t="shared" ref="A22:A30" si="3">IF(AND(B22&lt;&gt;"",C22&lt;&gt;""),A21+1,"")</f>
        <v/>
      </c>
      <c r="B22" s="19" t="str">
        <f t="shared" ref="B22:B30" si="4">IF(AND(B21&lt;&gt;"",C21&lt;&gt;"",C22&lt;&gt;""),B21+C21,"")</f>
        <v/>
      </c>
      <c r="C22" s="20"/>
      <c r="D22" s="19" t="str">
        <f t="shared" si="2"/>
        <v/>
      </c>
      <c r="E22" s="15" t="str">
        <f>IF(A22="","",SUMIF(Backlog!E$6:E$103,'Release Plan'!A22,Backlog!D$6:D$103))</f>
        <v/>
      </c>
      <c r="F22" s="4" t="str">
        <f t="shared" ref="F22:F30" si="5">IF(AND(OR(F21="Planned",F21="Ongoing"),C22&lt;&gt;""),"Planned","Unplanned")</f>
        <v>Unplanned</v>
      </c>
      <c r="G22" s="20"/>
      <c r="H22" s="21"/>
      <c r="I22" s="27"/>
    </row>
    <row r="23" spans="1:9" x14ac:dyDescent="0.2">
      <c r="A23" s="15" t="str">
        <f t="shared" si="3"/>
        <v/>
      </c>
      <c r="B23" s="19" t="str">
        <f t="shared" si="4"/>
        <v/>
      </c>
      <c r="C23" s="20"/>
      <c r="D23" s="19" t="str">
        <f t="shared" si="2"/>
        <v/>
      </c>
      <c r="E23" s="15" t="str">
        <f>IF(A23="","",SUMIF(Backlog!E$6:E$103,'Release Plan'!A23,Backlog!D$6:D$103))</f>
        <v/>
      </c>
      <c r="F23" s="4" t="str">
        <f t="shared" si="5"/>
        <v>Unplanned</v>
      </c>
      <c r="G23" s="20"/>
      <c r="H23" s="21"/>
      <c r="I23" s="27"/>
    </row>
    <row r="24" spans="1:9" x14ac:dyDescent="0.2">
      <c r="A24" s="15" t="str">
        <f t="shared" si="3"/>
        <v/>
      </c>
      <c r="B24" s="19" t="str">
        <f t="shared" si="4"/>
        <v/>
      </c>
      <c r="C24" s="20"/>
      <c r="D24" s="19" t="str">
        <f t="shared" si="2"/>
        <v/>
      </c>
      <c r="E24" s="15" t="str">
        <f>IF(A24="","",SUMIF(Backlog!E$6:E$103,'Release Plan'!A24,Backlog!D$6:D$103))</f>
        <v/>
      </c>
      <c r="F24" s="4" t="str">
        <f t="shared" si="5"/>
        <v>Unplanned</v>
      </c>
      <c r="G24" s="20"/>
      <c r="H24" s="21"/>
      <c r="I24" s="27"/>
    </row>
    <row r="25" spans="1:9" x14ac:dyDescent="0.2">
      <c r="A25" s="15" t="str">
        <f t="shared" si="3"/>
        <v/>
      </c>
      <c r="B25" s="19" t="str">
        <f t="shared" si="4"/>
        <v/>
      </c>
      <c r="C25" s="20"/>
      <c r="D25" s="19" t="str">
        <f t="shared" si="2"/>
        <v/>
      </c>
      <c r="E25" s="15" t="str">
        <f>IF(A25="","",SUMIF(Backlog!E$6:E$103,'Release Plan'!A25,Backlog!D$6:D$103))</f>
        <v/>
      </c>
      <c r="F25" s="4" t="str">
        <f t="shared" si="5"/>
        <v>Unplanned</v>
      </c>
      <c r="G25" s="20"/>
      <c r="H25" s="21"/>
      <c r="I25" s="27"/>
    </row>
    <row r="26" spans="1:9" x14ac:dyDescent="0.2">
      <c r="A26" s="15" t="str">
        <f t="shared" si="3"/>
        <v/>
      </c>
      <c r="B26" s="19" t="str">
        <f t="shared" si="4"/>
        <v/>
      </c>
      <c r="C26" s="20"/>
      <c r="D26" s="19" t="str">
        <f t="shared" si="2"/>
        <v/>
      </c>
      <c r="E26" s="15" t="str">
        <f>IF(A26="","",SUMIF(Backlog!E$6:E$103,'Release Plan'!A26,Backlog!D$6:D$103))</f>
        <v/>
      </c>
      <c r="F26" s="4" t="str">
        <f t="shared" si="5"/>
        <v>Unplanned</v>
      </c>
      <c r="G26" s="20"/>
      <c r="H26" s="21"/>
      <c r="I26" s="27"/>
    </row>
    <row r="27" spans="1:9" x14ac:dyDescent="0.2">
      <c r="A27" s="15" t="str">
        <f t="shared" si="3"/>
        <v/>
      </c>
      <c r="B27" s="19" t="str">
        <f t="shared" si="4"/>
        <v/>
      </c>
      <c r="C27" s="20"/>
      <c r="D27" s="19" t="str">
        <f t="shared" si="2"/>
        <v/>
      </c>
      <c r="E27" s="15" t="str">
        <f>IF(A27="","",SUMIF(Backlog!E$6:E$103,'Release Plan'!A27,Backlog!D$6:D$103))</f>
        <v/>
      </c>
      <c r="F27" s="4" t="str">
        <f t="shared" si="5"/>
        <v>Unplanned</v>
      </c>
      <c r="G27" s="20"/>
      <c r="H27" s="21"/>
      <c r="I27" s="27"/>
    </row>
    <row r="28" spans="1:9" x14ac:dyDescent="0.2">
      <c r="A28" s="15" t="str">
        <f t="shared" si="3"/>
        <v/>
      </c>
      <c r="B28" s="19" t="str">
        <f t="shared" si="4"/>
        <v/>
      </c>
      <c r="C28" s="20"/>
      <c r="D28" s="19" t="str">
        <f t="shared" si="2"/>
        <v/>
      </c>
      <c r="E28" s="15" t="str">
        <f>IF(A28="","",SUMIF(Backlog!E$6:E$103,'Release Plan'!A28,Backlog!D$6:D$103))</f>
        <v/>
      </c>
      <c r="F28" s="4" t="str">
        <f t="shared" si="5"/>
        <v>Unplanned</v>
      </c>
      <c r="G28" s="20"/>
      <c r="H28" s="21"/>
      <c r="I28" s="27"/>
    </row>
    <row r="29" spans="1:9" x14ac:dyDescent="0.2">
      <c r="A29" s="15" t="str">
        <f t="shared" si="3"/>
        <v/>
      </c>
      <c r="B29" s="19" t="str">
        <f t="shared" si="4"/>
        <v/>
      </c>
      <c r="C29" s="20"/>
      <c r="D29" s="19" t="str">
        <f t="shared" si="2"/>
        <v/>
      </c>
      <c r="E29" s="15" t="str">
        <f>IF(A29="","",SUMIF(Backlog!E$6:E$103,'Release Plan'!A29,Backlog!D$6:D$103))</f>
        <v/>
      </c>
      <c r="F29" s="4" t="str">
        <f t="shared" si="5"/>
        <v>Unplanned</v>
      </c>
      <c r="G29" s="20"/>
      <c r="H29" s="21"/>
      <c r="I29" s="27"/>
    </row>
    <row r="30" spans="1:9" x14ac:dyDescent="0.2">
      <c r="A30" s="15" t="str">
        <f t="shared" si="3"/>
        <v/>
      </c>
      <c r="B30" s="19" t="str">
        <f t="shared" si="4"/>
        <v/>
      </c>
      <c r="C30" s="20"/>
      <c r="D30" s="19" t="str">
        <f t="shared" si="2"/>
        <v/>
      </c>
      <c r="E30" s="15" t="str">
        <f>IF(A30="","",SUMIF(Backlog!E$6:E$103,'Release Plan'!A30,Backlog!D$6:D$103))</f>
        <v/>
      </c>
      <c r="F30" s="4" t="str">
        <f t="shared" si="5"/>
        <v>Unplanned</v>
      </c>
      <c r="G30" s="20"/>
      <c r="H30" s="22"/>
      <c r="I30" s="28"/>
    </row>
    <row r="31" spans="1:9" x14ac:dyDescent="0.2">
      <c r="A31" s="16"/>
      <c r="B31" s="16"/>
      <c r="C31" s="16"/>
      <c r="D31" s="17" t="s">
        <v>16</v>
      </c>
      <c r="E31" s="18">
        <f>SUMIF(Backlog!E$6:E$103,"",Backlog!D$6:D$103)-SUMIF(Backlog!C$6:C$103,"Removed",Backlog!D$6:D$103)</f>
        <v>0</v>
      </c>
      <c r="F31" s="16"/>
      <c r="G31" s="40"/>
      <c r="H31" s="16"/>
    </row>
  </sheetData>
  <phoneticPr fontId="2" type="noConversion"/>
  <conditionalFormatting sqref="G4:H10 E31 A4:D10 E5:E10">
    <cfRule type="expression" dxfId="28" priority="3" stopIfTrue="1">
      <formula>$F4="Planned"</formula>
    </cfRule>
    <cfRule type="expression" dxfId="27" priority="4" stopIfTrue="1">
      <formula>$F4="Ongoing"</formula>
    </cfRule>
  </conditionalFormatting>
  <conditionalFormatting sqref="F4:F10 F16:F30">
    <cfRule type="expression" dxfId="26" priority="5" stopIfTrue="1">
      <formula>$F4="Planned"</formula>
    </cfRule>
    <cfRule type="expression" dxfId="25" priority="6" stopIfTrue="1">
      <formula>$F4="Ongoing"</formula>
    </cfRule>
    <cfRule type="cellIs" dxfId="24" priority="7" stopIfTrue="1" operator="equal">
      <formula>"Unplanned"</formula>
    </cfRule>
  </conditionalFormatting>
  <conditionalFormatting sqref="A16:E30 G16:H30">
    <cfRule type="expression" dxfId="23" priority="8" stopIfTrue="1">
      <formula>OR($F16="Planned",$F16="Unplanned")</formula>
    </cfRule>
    <cfRule type="expression" dxfId="22" priority="9" stopIfTrue="1">
      <formula>$F16="Ongoing"</formula>
    </cfRule>
  </conditionalFormatting>
  <conditionalFormatting sqref="E4">
    <cfRule type="expression" dxfId="21" priority="1" stopIfTrue="1">
      <formula>$F4="Planned"</formula>
    </cfRule>
    <cfRule type="expression" dxfId="20" priority="2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B30" sqref="B30"/>
    </sheetView>
  </sheetViews>
  <sheetFormatPr baseColWidth="10" defaultColWidth="9.140625" defaultRowHeight="12.75" x14ac:dyDescent="0.2"/>
  <cols>
    <col min="1" max="1" width="10.85546875" style="24" customWidth="1"/>
    <col min="2" max="2" width="39.28515625" style="23" customWidth="1"/>
    <col min="3" max="3" width="10.85546875" style="24" customWidth="1"/>
    <col min="4" max="6" width="9.140625" style="24"/>
    <col min="7" max="7" width="39.5703125" style="23" customWidth="1"/>
    <col min="8" max="16384" width="9.140625" style="25"/>
  </cols>
  <sheetData>
    <row r="1" spans="1:7" ht="18" x14ac:dyDescent="0.2">
      <c r="A1" s="70" t="s">
        <v>75</v>
      </c>
      <c r="C1" s="65" t="s">
        <v>66</v>
      </c>
    </row>
    <row r="2" spans="1:7" x14ac:dyDescent="0.2">
      <c r="D2" s="63"/>
    </row>
    <row r="4" spans="1:7" ht="13.5" thickBot="1" x14ac:dyDescent="0.25">
      <c r="A4" s="33" t="s">
        <v>109</v>
      </c>
      <c r="B4" s="34" t="s">
        <v>4</v>
      </c>
      <c r="C4" s="33" t="s">
        <v>3</v>
      </c>
      <c r="D4" s="33" t="s">
        <v>14</v>
      </c>
      <c r="E4" s="33" t="s">
        <v>11</v>
      </c>
      <c r="F4" s="33" t="s">
        <v>65</v>
      </c>
      <c r="G4" s="34" t="s">
        <v>23</v>
      </c>
    </row>
    <row r="5" spans="1:7" ht="25.5" x14ac:dyDescent="0.2">
      <c r="A5" s="24">
        <v>1</v>
      </c>
      <c r="B5" s="74" t="s">
        <v>93</v>
      </c>
      <c r="C5" s="24" t="s">
        <v>67</v>
      </c>
      <c r="D5" s="24">
        <v>1</v>
      </c>
      <c r="E5" s="24">
        <v>1</v>
      </c>
      <c r="F5" s="24">
        <v>4</v>
      </c>
      <c r="G5" s="74" t="s">
        <v>94</v>
      </c>
    </row>
    <row r="6" spans="1:7" ht="51" x14ac:dyDescent="0.2">
      <c r="A6" s="24">
        <v>2</v>
      </c>
      <c r="B6" s="74" t="s">
        <v>107</v>
      </c>
      <c r="C6" s="24" t="s">
        <v>67</v>
      </c>
      <c r="D6" s="24">
        <v>1</v>
      </c>
      <c r="E6" s="24">
        <v>1</v>
      </c>
      <c r="F6" s="24">
        <v>3</v>
      </c>
      <c r="G6" s="74" t="s">
        <v>95</v>
      </c>
    </row>
    <row r="7" spans="1:7" x14ac:dyDescent="0.2">
      <c r="A7" s="24">
        <v>3</v>
      </c>
      <c r="B7" s="74" t="s">
        <v>96</v>
      </c>
      <c r="C7" s="24" t="s">
        <v>67</v>
      </c>
      <c r="D7" s="24">
        <v>3</v>
      </c>
      <c r="E7" s="24">
        <v>1</v>
      </c>
      <c r="F7" s="24">
        <v>2</v>
      </c>
    </row>
    <row r="8" spans="1:7" x14ac:dyDescent="0.2">
      <c r="A8" s="24">
        <v>4</v>
      </c>
      <c r="B8" s="74" t="s">
        <v>97</v>
      </c>
      <c r="C8" s="24" t="s">
        <v>67</v>
      </c>
      <c r="D8" s="24">
        <v>3</v>
      </c>
      <c r="E8" s="24">
        <v>1</v>
      </c>
      <c r="F8" s="24">
        <v>4</v>
      </c>
    </row>
    <row r="9" spans="1:7" x14ac:dyDescent="0.2">
      <c r="A9" s="24">
        <v>5</v>
      </c>
      <c r="B9" s="74" t="s">
        <v>98</v>
      </c>
      <c r="C9" s="24" t="s">
        <v>67</v>
      </c>
      <c r="D9" s="24">
        <v>1</v>
      </c>
      <c r="E9" s="24">
        <v>2</v>
      </c>
      <c r="F9" s="24">
        <v>5</v>
      </c>
    </row>
    <row r="10" spans="1:7" ht="26.25" customHeight="1" x14ac:dyDescent="0.2">
      <c r="A10" s="24">
        <v>6</v>
      </c>
      <c r="B10" s="74" t="s">
        <v>99</v>
      </c>
      <c r="C10" s="24" t="s">
        <v>67</v>
      </c>
      <c r="D10" s="24">
        <v>2</v>
      </c>
      <c r="E10" s="24">
        <v>2</v>
      </c>
      <c r="F10" s="24">
        <v>2</v>
      </c>
    </row>
    <row r="11" spans="1:7" ht="26.25" customHeight="1" x14ac:dyDescent="0.2">
      <c r="A11" s="24">
        <v>7</v>
      </c>
      <c r="B11" s="74" t="s">
        <v>100</v>
      </c>
      <c r="C11" s="24" t="s">
        <v>67</v>
      </c>
      <c r="D11" s="24">
        <v>1</v>
      </c>
      <c r="E11" s="24">
        <v>2</v>
      </c>
      <c r="F11" s="24">
        <v>3</v>
      </c>
    </row>
    <row r="12" spans="1:7" x14ac:dyDescent="0.2">
      <c r="A12" s="24">
        <v>8</v>
      </c>
      <c r="B12" s="74" t="s">
        <v>101</v>
      </c>
      <c r="C12" s="24" t="s">
        <v>67</v>
      </c>
      <c r="D12" s="24">
        <v>2</v>
      </c>
      <c r="E12" s="24">
        <v>2</v>
      </c>
      <c r="F12" s="24">
        <v>4</v>
      </c>
    </row>
    <row r="13" spans="1:7" ht="25.5" x14ac:dyDescent="0.2">
      <c r="A13" s="24">
        <v>9</v>
      </c>
      <c r="B13" s="74" t="s">
        <v>102</v>
      </c>
      <c r="C13" s="24" t="s">
        <v>67</v>
      </c>
      <c r="D13" s="24">
        <v>3</v>
      </c>
      <c r="E13" s="24">
        <v>2</v>
      </c>
      <c r="F13" s="24">
        <v>5</v>
      </c>
      <c r="G13" s="74" t="s">
        <v>103</v>
      </c>
    </row>
    <row r="14" spans="1:7" ht="25.5" x14ac:dyDescent="0.2">
      <c r="A14" s="24">
        <v>10</v>
      </c>
      <c r="B14" s="74" t="s">
        <v>104</v>
      </c>
      <c r="C14" s="24" t="s">
        <v>67</v>
      </c>
      <c r="D14" s="24">
        <v>1</v>
      </c>
      <c r="E14" s="24">
        <v>2</v>
      </c>
      <c r="F14" s="24">
        <v>5</v>
      </c>
    </row>
    <row r="15" spans="1:7" ht="25.5" x14ac:dyDescent="0.2">
      <c r="A15" s="24">
        <v>11</v>
      </c>
      <c r="B15" s="74" t="s">
        <v>105</v>
      </c>
      <c r="C15" s="24" t="s">
        <v>67</v>
      </c>
      <c r="D15" s="24">
        <v>1</v>
      </c>
      <c r="E15" s="24">
        <v>2</v>
      </c>
      <c r="F15" s="24">
        <v>3</v>
      </c>
    </row>
    <row r="16" spans="1:7" ht="25.5" x14ac:dyDescent="0.2">
      <c r="A16" s="24">
        <v>12</v>
      </c>
      <c r="B16" s="74" t="s">
        <v>106</v>
      </c>
      <c r="C16" s="24" t="s">
        <v>68</v>
      </c>
      <c r="D16" s="24">
        <v>2</v>
      </c>
      <c r="E16" s="24">
        <v>3</v>
      </c>
      <c r="F16" s="24">
        <v>5</v>
      </c>
    </row>
    <row r="17" spans="1:6" x14ac:dyDescent="0.2">
      <c r="A17" s="24">
        <v>13</v>
      </c>
      <c r="B17" s="74" t="s">
        <v>108</v>
      </c>
      <c r="C17" s="24" t="s">
        <v>68</v>
      </c>
      <c r="D17" s="24">
        <v>3</v>
      </c>
      <c r="E17" s="24">
        <v>3</v>
      </c>
      <c r="F17" s="24">
        <v>5</v>
      </c>
    </row>
    <row r="18" spans="1:6" x14ac:dyDescent="0.2">
      <c r="A18" s="24">
        <v>14</v>
      </c>
      <c r="B18" s="74" t="s">
        <v>92</v>
      </c>
      <c r="C18" s="24" t="s">
        <v>15</v>
      </c>
      <c r="D18" s="24">
        <v>5</v>
      </c>
      <c r="E18" s="24">
        <v>3</v>
      </c>
      <c r="F18" s="24">
        <v>4</v>
      </c>
    </row>
    <row r="19" spans="1:6" x14ac:dyDescent="0.2">
      <c r="B19" s="74"/>
    </row>
    <row r="29" spans="1:6" x14ac:dyDescent="0.2">
      <c r="B29" s="25"/>
    </row>
    <row r="37" spans="7:10" x14ac:dyDescent="0.2">
      <c r="J37" s="61"/>
    </row>
    <row r="42" spans="7:10" x14ac:dyDescent="0.2">
      <c r="G42" s="62"/>
    </row>
    <row r="53" spans="1:6" x14ac:dyDescent="0.2">
      <c r="A53" s="25"/>
      <c r="B53" s="25"/>
      <c r="C53" s="25"/>
      <c r="D53" s="25"/>
      <c r="E53" s="25"/>
      <c r="F53" s="25"/>
    </row>
  </sheetData>
  <sortState ref="A5:G53">
    <sortCondition ref="E5"/>
    <sortCondition ref="C5"/>
  </sortState>
  <phoneticPr fontId="2" type="noConversion"/>
  <conditionalFormatting sqref="G44:G52 C45:C46 A11:A52 G23:G41 A54:G163 B47:F52 G11:G21 A4:G10 B11:F44 B5:G18">
    <cfRule type="expression" dxfId="19" priority="2" stopIfTrue="1">
      <formula>$C4="Done"</formula>
    </cfRule>
    <cfRule type="expression" dxfId="18" priority="3" stopIfTrue="1">
      <formula>$C4="Ongoing"</formula>
    </cfRule>
    <cfRule type="expression" dxfId="17" priority="4" stopIfTrue="1">
      <formula>$C4="Removed"</formula>
    </cfRule>
    <cfRule type="expression" dxfId="16" priority="1" stopIfTrue="1">
      <formula>$C4="Planned"</formula>
    </cfRule>
  </conditionalFormatting>
  <conditionalFormatting sqref="G53">
    <cfRule type="expression" dxfId="15" priority="5" stopIfTrue="1">
      <formula>$C43="Done"</formula>
    </cfRule>
    <cfRule type="expression" dxfId="14" priority="6" stopIfTrue="1">
      <formula>$C43="Ongoing"</formula>
    </cfRule>
    <cfRule type="expression" dxfId="13" priority="7" stopIfTrue="1">
      <formula>$C43="Removed"</formula>
    </cfRule>
  </conditionalFormatting>
  <conditionalFormatting sqref="G42:G43">
    <cfRule type="expression" dxfId="12" priority="8" stopIfTrue="1">
      <formula>#REF!="Done"</formula>
    </cfRule>
    <cfRule type="expression" dxfId="11" priority="9" stopIfTrue="1">
      <formula>#REF!="Ongoing"</formula>
    </cfRule>
    <cfRule type="expression" dxfId="10" priority="10" stopIfTrue="1">
      <formula>#REF!="Removed"</formula>
    </cfRule>
  </conditionalFormatting>
  <conditionalFormatting sqref="G22">
    <cfRule type="expression" dxfId="9" priority="11" stopIfTrue="1">
      <formula>#REF!="Done"</formula>
    </cfRule>
    <cfRule type="expression" dxfId="8" priority="12" stopIfTrue="1">
      <formula>#REF!="Ongoing"</formula>
    </cfRule>
    <cfRule type="expression" dxfId="7" priority="13" stopIfTrue="1">
      <formula>#REF!="Removed"</formula>
    </cfRule>
  </conditionalFormatting>
  <dataValidations count="1">
    <dataValidation type="list" allowBlank="1" showInputMessage="1" sqref="C54:C163 C4:C52">
      <formula1>"Planned,Ongoing,Done,Removed"</formula1>
    </dataValidation>
  </dataValidations>
  <pageMargins left="0.78740157499999996" right="0.78740157499999996" top="0.984251969" bottom="0.984251969" header="0.5" footer="0.5"/>
  <pageSetup paperSize="9" scale="8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87"/>
  <sheetViews>
    <sheetView workbookViewId="0">
      <pane ySplit="14" topLeftCell="A15" activePane="bottomLeft" state="frozen"/>
      <selection pane="bottomLeft" activeCell="C28" sqref="C28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1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Plan'!H16</f>
        <v>Setup Git Repo und Scrum Tool</v>
      </c>
    </row>
    <row r="9" spans="1:30" x14ac:dyDescent="0.2">
      <c r="A9" s="56" t="s">
        <v>10</v>
      </c>
      <c r="B9" s="57">
        <v>4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4</v>
      </c>
      <c r="C10" s="56" t="s">
        <v>25</v>
      </c>
      <c r="D10" s="56" t="s">
        <v>13</v>
      </c>
      <c r="E10" s="59">
        <v>5</v>
      </c>
      <c r="F10" s="59">
        <f ca="1">IF(AND(SUM(OFFSET(F14,1,0,TaskRows,1))=0),0,SUM(OFFSET(F14,1,0,TaskRows,1)))</f>
        <v>4</v>
      </c>
      <c r="G10" s="59">
        <f t="shared" ref="G10:AD10" ca="1" si="0">IF(AND(SUM(OFFSET(G14,1,0,TaskRows,1))=0),"",SUM(OFFSET(G14,1,0,TaskRows,1)))</f>
        <v>3</v>
      </c>
      <c r="H10" s="59">
        <f t="shared" ca="1" si="0"/>
        <v>1</v>
      </c>
      <c r="I10" s="59" t="str">
        <f t="shared" ca="1" si="0"/>
        <v/>
      </c>
      <c r="J10" s="59" t="str">
        <f t="shared" ca="1" si="0"/>
        <v/>
      </c>
      <c r="K10" s="59" t="str">
        <f t="shared" ca="1" si="0"/>
        <v/>
      </c>
      <c r="L10" s="59" t="str">
        <f t="shared" ca="1" si="0"/>
        <v/>
      </c>
      <c r="M10" s="59" t="str">
        <f t="shared" ca="1" si="0"/>
        <v/>
      </c>
      <c r="N10" s="59" t="str">
        <f t="shared" ca="1" si="0"/>
        <v/>
      </c>
      <c r="O10" s="59" t="str">
        <f t="shared" ca="1" si="0"/>
        <v/>
      </c>
      <c r="P10" s="59" t="str">
        <f t="shared" ca="1" si="0"/>
        <v/>
      </c>
      <c r="Q10" s="59" t="str">
        <f t="shared" ca="1" si="0"/>
        <v/>
      </c>
      <c r="R10" s="59" t="str">
        <f t="shared" ca="1" si="0"/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3</v>
      </c>
      <c r="C11" t="s">
        <v>18</v>
      </c>
      <c r="D11" s="2">
        <f ca="1">IF(COUNTIF(F10:AD10,"&gt;0")=0,1,COUNTIF(F10:AD10,"&gt;0"))</f>
        <v>3</v>
      </c>
      <c r="E11" s="2"/>
      <c r="F11" s="2">
        <f>IF(F14="","",$E10-$E10/($B9-1)*(F14-1))</f>
        <v>5</v>
      </c>
      <c r="G11" s="2">
        <f t="shared" ref="G11:AD11" si="1">IF(G14="","",TotalEffort-TotalEffort/(ImplementationDays)*(G14-1))</f>
        <v>3.75</v>
      </c>
      <c r="H11" s="2">
        <f t="shared" si="1"/>
        <v>2.5</v>
      </c>
      <c r="I11" s="2">
        <f t="shared" si="1"/>
        <v>1.25</v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4.1666666666666661</v>
      </c>
      <c r="G12" s="2">
        <f t="shared" ca="1" si="2"/>
        <v>2.6666666666666665</v>
      </c>
      <c r="H12" s="2">
        <f t="shared" ca="1" si="2"/>
        <v>1.166666666666667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 t="str">
        <f t="shared" si="3"/>
        <v/>
      </c>
      <c r="K14" s="60" t="str">
        <f t="shared" si="3"/>
        <v/>
      </c>
      <c r="L14" s="60" t="str">
        <f t="shared" si="3"/>
        <v/>
      </c>
      <c r="M14" s="60" t="str">
        <f t="shared" si="3"/>
        <v/>
      </c>
      <c r="N14" s="60" t="str">
        <f t="shared" si="3"/>
        <v/>
      </c>
      <c r="O14" s="60" t="str">
        <f t="shared" si="3"/>
        <v/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Backlog!B5</f>
        <v>Git Repo anlegen</v>
      </c>
      <c r="B15" s="2">
        <v>1</v>
      </c>
      <c r="C15" s="71" t="str">
        <f>Team!B8</f>
        <v>Marc Schöchlin</v>
      </c>
      <c r="D15" t="s">
        <v>67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</row>
    <row r="16" spans="1:30" x14ac:dyDescent="0.2">
      <c r="A16" s="71" t="str">
        <f>Backlog!B6</f>
        <v>SCRUM Tools evaluieren und Konfigurieren</v>
      </c>
      <c r="B16" s="2">
        <v>2</v>
      </c>
      <c r="C16" s="71" t="str">
        <f>Team!B11</f>
        <v>Lucas Vorpahl</v>
      </c>
      <c r="D16" t="s">
        <v>67</v>
      </c>
      <c r="E16" s="2">
        <v>2</v>
      </c>
      <c r="F16" s="2">
        <v>2</v>
      </c>
      <c r="G16" s="2">
        <v>2</v>
      </c>
      <c r="H16" s="2">
        <v>1</v>
      </c>
      <c r="I16" s="2">
        <v>0</v>
      </c>
    </row>
    <row r="17" spans="1:30" x14ac:dyDescent="0.2">
      <c r="A17" s="71" t="str">
        <f>Backlog!B6</f>
        <v>SCRUM Tools evaluieren und Konfigurieren</v>
      </c>
      <c r="B17" s="2">
        <v>2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AC17" s="24" t="str">
        <f t="shared" ref="AC17:AD40" si="4">IF(OR(AC$14="",$E17=""),"",AB17)</f>
        <v/>
      </c>
      <c r="AD17" s="24" t="str">
        <f t="shared" si="4"/>
        <v/>
      </c>
    </row>
    <row r="18" spans="1:30" x14ac:dyDescent="0.2">
      <c r="A18" s="23"/>
      <c r="C18"/>
      <c r="D18" s="25" t="str">
        <f t="shared" ref="D18:D40" si="5">IF(A18&lt;&gt;"","Planned","")</f>
        <v/>
      </c>
      <c r="F18" s="24" t="str">
        <f t="shared" ref="F18:F40" si="6">IF(OR(F$14="",$E18=""),"",E18)</f>
        <v/>
      </c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si="5"/>
        <v/>
      </c>
      <c r="F19" s="24" t="str">
        <f t="shared" si="6"/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5"/>
        <v/>
      </c>
      <c r="F20" s="24" t="str">
        <f t="shared" si="6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5"/>
        <v/>
      </c>
      <c r="F21" s="24" t="str">
        <f t="shared" si="6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5"/>
        <v/>
      </c>
      <c r="F22" s="24" t="str">
        <f t="shared" si="6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5"/>
        <v/>
      </c>
      <c r="F23" s="24" t="str">
        <f t="shared" si="6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5"/>
        <v/>
      </c>
      <c r="F24" s="24" t="str">
        <f t="shared" si="6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5"/>
        <v/>
      </c>
      <c r="F25" s="24" t="str">
        <f t="shared" si="6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5"/>
        <v/>
      </c>
      <c r="F26" s="24" t="str">
        <f t="shared" si="6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5"/>
        <v/>
      </c>
      <c r="F27" s="24" t="str">
        <f t="shared" si="6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5"/>
        <v/>
      </c>
      <c r="F28" s="24" t="str">
        <f t="shared" si="6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5"/>
        <v/>
      </c>
      <c r="F29" s="24" t="str">
        <f t="shared" si="6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5"/>
        <v/>
      </c>
      <c r="F30" s="24" t="str">
        <f t="shared" si="6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5"/>
        <v/>
      </c>
      <c r="F31" s="24" t="str">
        <f t="shared" si="6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5"/>
        <v/>
      </c>
      <c r="F32" s="24" t="str">
        <f t="shared" si="6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5"/>
        <v/>
      </c>
      <c r="F33" s="24" t="str">
        <f t="shared" si="6"/>
        <v/>
      </c>
      <c r="AC33" s="24" t="str">
        <f t="shared" si="4"/>
        <v/>
      </c>
      <c r="AD33" s="24" t="str">
        <f t="shared" si="4"/>
        <v/>
      </c>
    </row>
    <row r="34" spans="1:30" x14ac:dyDescent="0.2">
      <c r="C34"/>
      <c r="D34" s="25" t="str">
        <f t="shared" si="5"/>
        <v/>
      </c>
      <c r="F34" s="24" t="str">
        <f t="shared" si="6"/>
        <v/>
      </c>
      <c r="AC34" s="24" t="str">
        <f t="shared" si="4"/>
        <v/>
      </c>
      <c r="AD34" s="24" t="str">
        <f t="shared" si="4"/>
        <v/>
      </c>
    </row>
    <row r="35" spans="1:30" x14ac:dyDescent="0.2">
      <c r="C35"/>
      <c r="D35" s="25" t="str">
        <f t="shared" si="5"/>
        <v/>
      </c>
      <c r="F35" s="24" t="str">
        <f t="shared" si="6"/>
        <v/>
      </c>
      <c r="AC35" s="24" t="str">
        <f t="shared" si="4"/>
        <v/>
      </c>
      <c r="AD35" s="24" t="str">
        <f t="shared" si="4"/>
        <v/>
      </c>
    </row>
    <row r="36" spans="1:30" x14ac:dyDescent="0.2">
      <c r="C36"/>
      <c r="D36" s="25" t="str">
        <f t="shared" si="5"/>
        <v/>
      </c>
      <c r="F36" s="24" t="str">
        <f t="shared" si="6"/>
        <v/>
      </c>
      <c r="AC36" s="24" t="str">
        <f t="shared" si="4"/>
        <v/>
      </c>
      <c r="AD36" s="24" t="str">
        <f t="shared" si="4"/>
        <v/>
      </c>
    </row>
    <row r="37" spans="1:30" x14ac:dyDescent="0.2">
      <c r="C37"/>
      <c r="D37" s="25" t="str">
        <f t="shared" si="5"/>
        <v/>
      </c>
      <c r="F37" s="24" t="str">
        <f t="shared" si="6"/>
        <v/>
      </c>
      <c r="AC37" s="24" t="str">
        <f t="shared" si="4"/>
        <v/>
      </c>
      <c r="AD37" s="24" t="str">
        <f t="shared" si="4"/>
        <v/>
      </c>
    </row>
    <row r="38" spans="1:30" x14ac:dyDescent="0.2">
      <c r="C38"/>
      <c r="D38" s="25" t="str">
        <f t="shared" si="5"/>
        <v/>
      </c>
      <c r="F38" s="24" t="str">
        <f t="shared" si="6"/>
        <v/>
      </c>
      <c r="AC38" s="24" t="str">
        <f t="shared" si="4"/>
        <v/>
      </c>
      <c r="AD38" s="24" t="str">
        <f t="shared" si="4"/>
        <v/>
      </c>
    </row>
    <row r="39" spans="1:30" x14ac:dyDescent="0.2">
      <c r="C39"/>
      <c r="D39" s="25" t="str">
        <f t="shared" si="5"/>
        <v/>
      </c>
      <c r="F39" s="24" t="str">
        <f t="shared" si="6"/>
        <v/>
      </c>
      <c r="G39" s="24" t="str">
        <f t="shared" ref="G39:AB39" si="7">IF(OR(G$14="",$E39=""),"",F39)</f>
        <v/>
      </c>
      <c r="H39" s="24" t="str">
        <f t="shared" si="7"/>
        <v/>
      </c>
      <c r="I39" s="24" t="str">
        <f t="shared" si="7"/>
        <v/>
      </c>
      <c r="J39" s="24" t="str">
        <f t="shared" si="7"/>
        <v/>
      </c>
      <c r="K39" s="24" t="str">
        <f t="shared" si="7"/>
        <v/>
      </c>
      <c r="L39" s="24" t="str">
        <f t="shared" si="7"/>
        <v/>
      </c>
      <c r="M39" s="24" t="str">
        <f t="shared" si="7"/>
        <v/>
      </c>
      <c r="N39" s="24" t="str">
        <f t="shared" si="7"/>
        <v/>
      </c>
      <c r="O39" s="24" t="str">
        <f t="shared" si="7"/>
        <v/>
      </c>
      <c r="P39" s="24" t="str">
        <f t="shared" si="7"/>
        <v/>
      </c>
      <c r="Q39" s="24" t="str">
        <f t="shared" si="7"/>
        <v/>
      </c>
      <c r="R39" s="24" t="str">
        <f t="shared" si="7"/>
        <v/>
      </c>
      <c r="S39" s="24" t="str">
        <f t="shared" si="7"/>
        <v/>
      </c>
      <c r="T39" s="24" t="str">
        <f t="shared" si="7"/>
        <v/>
      </c>
      <c r="U39" s="24" t="str">
        <f t="shared" si="7"/>
        <v/>
      </c>
      <c r="V39" s="24" t="str">
        <f t="shared" si="7"/>
        <v/>
      </c>
      <c r="W39" s="24" t="str">
        <f t="shared" si="7"/>
        <v/>
      </c>
      <c r="X39" s="24" t="str">
        <f t="shared" si="7"/>
        <v/>
      </c>
      <c r="Y39" s="24" t="str">
        <f t="shared" si="7"/>
        <v/>
      </c>
      <c r="Z39" s="24" t="str">
        <f t="shared" si="7"/>
        <v/>
      </c>
      <c r="AA39" s="24" t="str">
        <f t="shared" si="7"/>
        <v/>
      </c>
      <c r="AB39" s="24" t="str">
        <f t="shared" si="7"/>
        <v/>
      </c>
      <c r="AC39" s="24" t="str">
        <f t="shared" si="4"/>
        <v/>
      </c>
      <c r="AD39" s="24" t="str">
        <f t="shared" si="4"/>
        <v/>
      </c>
    </row>
    <row r="40" spans="1:30" x14ac:dyDescent="0.2">
      <c r="C40"/>
      <c r="D40" s="25" t="str">
        <f t="shared" si="5"/>
        <v/>
      </c>
      <c r="F40" s="24" t="str">
        <f t="shared" si="6"/>
        <v/>
      </c>
      <c r="G40" s="24" t="str">
        <f t="shared" ref="G40:AB40" si="8">IF(OR(G$14="",$E40=""),"",F40)</f>
        <v/>
      </c>
      <c r="H40" s="24" t="str">
        <f t="shared" si="8"/>
        <v/>
      </c>
      <c r="I40" s="24" t="str">
        <f t="shared" si="8"/>
        <v/>
      </c>
      <c r="J40" s="24" t="str">
        <f t="shared" si="8"/>
        <v/>
      </c>
      <c r="K40" s="24" t="str">
        <f t="shared" si="8"/>
        <v/>
      </c>
      <c r="L40" s="24" t="str">
        <f t="shared" si="8"/>
        <v/>
      </c>
      <c r="M40" s="24" t="str">
        <f t="shared" si="8"/>
        <v/>
      </c>
      <c r="N40" s="24" t="str">
        <f t="shared" si="8"/>
        <v/>
      </c>
      <c r="O40" s="24" t="str">
        <f t="shared" si="8"/>
        <v/>
      </c>
      <c r="P40" s="24" t="str">
        <f t="shared" si="8"/>
        <v/>
      </c>
      <c r="Q40" s="24" t="str">
        <f t="shared" si="8"/>
        <v/>
      </c>
      <c r="R40" s="24" t="str">
        <f t="shared" si="8"/>
        <v/>
      </c>
      <c r="S40" s="24" t="str">
        <f t="shared" si="8"/>
        <v/>
      </c>
      <c r="T40" s="24" t="str">
        <f t="shared" si="8"/>
        <v/>
      </c>
      <c r="U40" s="24" t="str">
        <f t="shared" si="8"/>
        <v/>
      </c>
      <c r="V40" s="24" t="str">
        <f t="shared" si="8"/>
        <v/>
      </c>
      <c r="W40" s="24" t="str">
        <f t="shared" si="8"/>
        <v/>
      </c>
      <c r="X40" s="24" t="str">
        <f t="shared" si="8"/>
        <v/>
      </c>
      <c r="Y40" s="24" t="str">
        <f t="shared" si="8"/>
        <v/>
      </c>
      <c r="Z40" s="24" t="str">
        <f t="shared" si="8"/>
        <v/>
      </c>
      <c r="AA40" s="24" t="str">
        <f t="shared" si="8"/>
        <v/>
      </c>
      <c r="AB40" s="24" t="str">
        <f t="shared" si="8"/>
        <v/>
      </c>
      <c r="AC40" s="24" t="str">
        <f t="shared" si="4"/>
        <v/>
      </c>
      <c r="AD40" s="24" t="str">
        <f t="shared" si="4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9">IF(OR(AC$14="",$E42=""),"",AB42)</f>
        <v/>
      </c>
      <c r="AD42" s="24" t="str">
        <f t="shared" si="9"/>
        <v/>
      </c>
    </row>
    <row r="43" spans="1:30" x14ac:dyDescent="0.2">
      <c r="A43" s="23"/>
      <c r="C43"/>
      <c r="AC43" s="24" t="str">
        <f t="shared" si="9"/>
        <v/>
      </c>
      <c r="AD43" s="24" t="str">
        <f t="shared" si="9"/>
        <v/>
      </c>
    </row>
    <row r="44" spans="1:30" x14ac:dyDescent="0.2">
      <c r="A44" s="23"/>
      <c r="C44"/>
      <c r="AC44" s="24" t="str">
        <f t="shared" si="9"/>
        <v/>
      </c>
      <c r="AD44" s="24" t="str">
        <f t="shared" si="9"/>
        <v/>
      </c>
    </row>
    <row r="45" spans="1:30" x14ac:dyDescent="0.2">
      <c r="A45" s="23"/>
      <c r="C45"/>
      <c r="AC45" s="24" t="str">
        <f t="shared" si="9"/>
        <v/>
      </c>
      <c r="AD45" s="24" t="str">
        <f t="shared" si="9"/>
        <v/>
      </c>
    </row>
    <row r="46" spans="1:30" x14ac:dyDescent="0.2">
      <c r="A46" s="23"/>
      <c r="C46"/>
      <c r="AC46" s="24" t="str">
        <f t="shared" si="9"/>
        <v/>
      </c>
      <c r="AD46" s="24" t="str">
        <f t="shared" si="9"/>
        <v/>
      </c>
    </row>
    <row r="47" spans="1:30" x14ac:dyDescent="0.2">
      <c r="A47" s="23"/>
      <c r="C47"/>
      <c r="AC47" s="24" t="str">
        <f t="shared" si="9"/>
        <v/>
      </c>
      <c r="AD47" s="24" t="str">
        <f t="shared" si="9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0">IF(OR(AC$14="",$E49=""),"",AB49)</f>
        <v/>
      </c>
      <c r="AD49" s="24" t="str">
        <f t="shared" si="10"/>
        <v/>
      </c>
    </row>
    <row r="50" spans="1:30" x14ac:dyDescent="0.2">
      <c r="A50" s="23"/>
      <c r="C50"/>
      <c r="AC50" s="24" t="str">
        <f t="shared" si="10"/>
        <v/>
      </c>
      <c r="AD50" s="24" t="str">
        <f t="shared" si="10"/>
        <v/>
      </c>
    </row>
    <row r="51" spans="1:30" x14ac:dyDescent="0.2">
      <c r="A51" s="23"/>
      <c r="C51"/>
      <c r="AC51" s="24" t="str">
        <f t="shared" si="10"/>
        <v/>
      </c>
      <c r="AD51" s="24" t="str">
        <f t="shared" si="10"/>
        <v/>
      </c>
    </row>
    <row r="52" spans="1:30" x14ac:dyDescent="0.2">
      <c r="A52" s="23"/>
      <c r="C52"/>
      <c r="AC52" s="24" t="str">
        <f t="shared" si="10"/>
        <v/>
      </c>
      <c r="AD52" s="24" t="str">
        <f t="shared" si="10"/>
        <v/>
      </c>
    </row>
    <row r="53" spans="1:30" x14ac:dyDescent="0.2">
      <c r="A53" s="23"/>
      <c r="C53"/>
      <c r="AC53" s="24" t="str">
        <f t="shared" si="10"/>
        <v/>
      </c>
      <c r="AD53" s="24" t="str">
        <f t="shared" si="10"/>
        <v/>
      </c>
    </row>
    <row r="54" spans="1:30" x14ac:dyDescent="0.2">
      <c r="A54" s="23"/>
      <c r="C54"/>
      <c r="AC54" s="24" t="str">
        <f t="shared" si="10"/>
        <v/>
      </c>
      <c r="AD54" s="24" t="str">
        <f t="shared" si="10"/>
        <v/>
      </c>
    </row>
    <row r="55" spans="1:30" x14ac:dyDescent="0.2">
      <c r="A55" s="23"/>
      <c r="C55"/>
      <c r="AC55" s="24" t="str">
        <f t="shared" si="10"/>
        <v/>
      </c>
      <c r="AD55" s="24" t="str">
        <f t="shared" si="10"/>
        <v/>
      </c>
    </row>
    <row r="56" spans="1:30" x14ac:dyDescent="0.2">
      <c r="A56" s="23"/>
      <c r="C56"/>
      <c r="AC56" s="24" t="str">
        <f t="shared" si="10"/>
        <v/>
      </c>
      <c r="AD56" s="24" t="str">
        <f t="shared" si="10"/>
        <v/>
      </c>
    </row>
    <row r="57" spans="1:30" x14ac:dyDescent="0.2">
      <c r="A57" s="23"/>
      <c r="C57"/>
      <c r="AC57" s="24" t="str">
        <f t="shared" si="10"/>
        <v/>
      </c>
      <c r="AD57" s="24" t="str">
        <f t="shared" si="10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1">IF(OR(AC$14="",$E59=""),"",AB59)</f>
        <v/>
      </c>
      <c r="AD59" s="24" t="str">
        <f t="shared" si="11"/>
        <v/>
      </c>
    </row>
    <row r="60" spans="1:30" x14ac:dyDescent="0.2">
      <c r="A60" s="23"/>
      <c r="C60"/>
      <c r="AC60" s="24" t="str">
        <f t="shared" si="11"/>
        <v/>
      </c>
      <c r="AD60" s="24" t="str">
        <f t="shared" si="11"/>
        <v/>
      </c>
    </row>
    <row r="61" spans="1:30" x14ac:dyDescent="0.2">
      <c r="A61" s="23"/>
      <c r="C61"/>
      <c r="AC61" s="24" t="str">
        <f t="shared" si="11"/>
        <v/>
      </c>
      <c r="AD61" s="24" t="str">
        <f t="shared" si="11"/>
        <v/>
      </c>
    </row>
    <row r="62" spans="1:30" x14ac:dyDescent="0.2">
      <c r="A62" s="23"/>
      <c r="C62"/>
      <c r="AC62" s="24" t="str">
        <f t="shared" si="11"/>
        <v/>
      </c>
      <c r="AD62" s="24" t="str">
        <f t="shared" si="11"/>
        <v/>
      </c>
    </row>
    <row r="63" spans="1:30" x14ac:dyDescent="0.2">
      <c r="A63" s="23"/>
      <c r="C63"/>
      <c r="AC63" s="24" t="str">
        <f t="shared" si="11"/>
        <v/>
      </c>
      <c r="AD63" s="24" t="str">
        <f t="shared" si="11"/>
        <v/>
      </c>
    </row>
    <row r="64" spans="1:30" x14ac:dyDescent="0.2">
      <c r="C64"/>
      <c r="D64" s="25" t="str">
        <f t="shared" ref="D64" si="12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sortState ref="A15:AD63">
    <sortCondition ref="B14"/>
    <sortCondition ref="D14"/>
  </sortState>
  <phoneticPr fontId="2" type="noConversion"/>
  <conditionalFormatting sqref="A15:AD58">
    <cfRule type="expression" dxfId="6" priority="1" stopIfTrue="1">
      <formula>$D15="Done"</formula>
    </cfRule>
    <cfRule type="expression" dxfId="5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87"/>
  <sheetViews>
    <sheetView workbookViewId="0">
      <pane ySplit="14" topLeftCell="A15" activePane="bottomLeft" state="frozen"/>
      <selection pane="bottomLeft" activeCell="B21" sqref="B21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2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Plan'!H17</f>
        <v>User Stories mit Kunde definieren und Spezi. Erstellen</v>
      </c>
    </row>
    <row r="9" spans="1:30" x14ac:dyDescent="0.2">
      <c r="A9" s="56" t="s">
        <v>10</v>
      </c>
      <c r="B9" s="57">
        <v>4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4</v>
      </c>
      <c r="C10" s="56" t="s">
        <v>25</v>
      </c>
      <c r="D10" s="56" t="s">
        <v>13</v>
      </c>
      <c r="E10" s="59">
        <v>5</v>
      </c>
      <c r="F10" s="59">
        <f ca="1">IF(AND(SUM(OFFSET(F14,1,0,TaskRows,1))=0),0,SUM(OFFSET(F14,1,0,TaskRows,1)))</f>
        <v>4</v>
      </c>
      <c r="G10" s="59">
        <f t="shared" ref="G10:AD10" ca="1" si="0">IF(AND(SUM(OFFSET(G14,1,0,TaskRows,1))=0),"",SUM(OFFSET(G14,1,0,TaskRows,1)))</f>
        <v>3</v>
      </c>
      <c r="H10" s="59">
        <f t="shared" ca="1" si="0"/>
        <v>1</v>
      </c>
      <c r="I10" s="59" t="str">
        <f t="shared" ca="1" si="0"/>
        <v/>
      </c>
      <c r="J10" s="59" t="str">
        <f t="shared" ca="1" si="0"/>
        <v/>
      </c>
      <c r="K10" s="59" t="str">
        <f t="shared" ca="1" si="0"/>
        <v/>
      </c>
      <c r="L10" s="59" t="str">
        <f t="shared" ca="1" si="0"/>
        <v/>
      </c>
      <c r="M10" s="59" t="str">
        <f t="shared" ca="1" si="0"/>
        <v/>
      </c>
      <c r="N10" s="59" t="str">
        <f t="shared" ca="1" si="0"/>
        <v/>
      </c>
      <c r="O10" s="59" t="str">
        <f t="shared" ca="1" si="0"/>
        <v/>
      </c>
      <c r="P10" s="59" t="str">
        <f t="shared" ca="1" si="0"/>
        <v/>
      </c>
      <c r="Q10" s="59" t="str">
        <f t="shared" ca="1" si="0"/>
        <v/>
      </c>
      <c r="R10" s="59" t="str">
        <f t="shared" ca="1" si="0"/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3</v>
      </c>
      <c r="C11" t="s">
        <v>18</v>
      </c>
      <c r="D11" s="2">
        <f ca="1">IF(COUNTIF(F10:AD10,"&gt;0")=0,1,COUNTIF(F10:AD10,"&gt;0"))</f>
        <v>3</v>
      </c>
      <c r="E11" s="2"/>
      <c r="F11" s="2">
        <f>IF(F14="","",$E10-$E10/($B9-1)*(F14-1))</f>
        <v>5</v>
      </c>
      <c r="G11" s="2">
        <f t="shared" ref="G11:AD11" si="1">IF(G14="","",TotalEffort-TotalEffort/(ImplementationDays)*(G14-1))</f>
        <v>3.75</v>
      </c>
      <c r="H11" s="2">
        <f t="shared" si="1"/>
        <v>2.5</v>
      </c>
      <c r="I11" s="2">
        <f t="shared" si="1"/>
        <v>1.25</v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4.1666666666666661</v>
      </c>
      <c r="G12" s="2">
        <f t="shared" ca="1" si="2"/>
        <v>2.6666666666666665</v>
      </c>
      <c r="H12" s="2">
        <f t="shared" ca="1" si="2"/>
        <v>1.166666666666667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 t="str">
        <f t="shared" si="3"/>
        <v/>
      </c>
      <c r="K14" s="60" t="str">
        <f t="shared" si="3"/>
        <v/>
      </c>
      <c r="L14" s="60" t="str">
        <f t="shared" si="3"/>
        <v/>
      </c>
      <c r="M14" s="60" t="str">
        <f t="shared" si="3"/>
        <v/>
      </c>
      <c r="N14" s="60" t="str">
        <f t="shared" si="3"/>
        <v/>
      </c>
      <c r="O14" s="60" t="str">
        <f t="shared" si="3"/>
        <v/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Backlog!B5</f>
        <v>Git Repo anlegen</v>
      </c>
      <c r="B15" s="2">
        <v>1</v>
      </c>
      <c r="C15" s="71" t="str">
        <f>Team!B8</f>
        <v>Marc Schöchlin</v>
      </c>
      <c r="D15" t="s">
        <v>67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</row>
    <row r="16" spans="1:30" x14ac:dyDescent="0.2">
      <c r="A16" s="71" t="str">
        <f>Backlog!B6</f>
        <v>SCRUM Tools evaluieren und Konfigurieren</v>
      </c>
      <c r="B16" s="2">
        <v>2</v>
      </c>
      <c r="C16" s="71" t="str">
        <f>Team!B11</f>
        <v>Lucas Vorpahl</v>
      </c>
      <c r="D16" t="s">
        <v>67</v>
      </c>
      <c r="E16" s="2">
        <v>2</v>
      </c>
      <c r="F16" s="2">
        <v>2</v>
      </c>
      <c r="G16" s="2">
        <v>2</v>
      </c>
      <c r="H16" s="2">
        <v>1</v>
      </c>
      <c r="I16" s="2">
        <v>0</v>
      </c>
    </row>
    <row r="17" spans="1:30" x14ac:dyDescent="0.2">
      <c r="A17" s="71" t="str">
        <f>Backlog!B6</f>
        <v>SCRUM Tools evaluieren und Konfigurieren</v>
      </c>
      <c r="B17" s="2">
        <v>2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AC17" s="24" t="str">
        <f t="shared" ref="AC17:AD32" si="4">IF(OR(AC$14="",$E17=""),"",AB17)</f>
        <v/>
      </c>
      <c r="AD17" s="24" t="str">
        <f t="shared" si="4"/>
        <v/>
      </c>
    </row>
    <row r="18" spans="1:30" x14ac:dyDescent="0.2">
      <c r="A18" s="23"/>
      <c r="C18"/>
      <c r="D18" s="25" t="str">
        <f t="shared" ref="D18:D40" si="5">IF(A18&lt;&gt;"","Planned","")</f>
        <v/>
      </c>
      <c r="F18" s="24" t="str">
        <f t="shared" ref="F18:U39" si="6">IF(OR(F$14="",$E18=""),"",E18)</f>
        <v/>
      </c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si="5"/>
        <v/>
      </c>
      <c r="F19" s="24" t="str">
        <f t="shared" si="6"/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5"/>
        <v/>
      </c>
      <c r="F20" s="24" t="str">
        <f t="shared" si="6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5"/>
        <v/>
      </c>
      <c r="F21" s="24" t="str">
        <f t="shared" si="6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5"/>
        <v/>
      </c>
      <c r="F22" s="24" t="str">
        <f t="shared" si="6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5"/>
        <v/>
      </c>
      <c r="F23" s="24" t="str">
        <f t="shared" si="6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5"/>
        <v/>
      </c>
      <c r="F24" s="24" t="str">
        <f t="shared" si="6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5"/>
        <v/>
      </c>
      <c r="F25" s="24" t="str">
        <f t="shared" si="6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5"/>
        <v/>
      </c>
      <c r="F26" s="24" t="str">
        <f t="shared" si="6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5"/>
        <v/>
      </c>
      <c r="F27" s="24" t="str">
        <f t="shared" si="6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5"/>
        <v/>
      </c>
      <c r="F28" s="24" t="str">
        <f t="shared" si="6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5"/>
        <v/>
      </c>
      <c r="F29" s="24" t="str">
        <f t="shared" si="6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5"/>
        <v/>
      </c>
      <c r="F30" s="24" t="str">
        <f t="shared" si="6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5"/>
        <v/>
      </c>
      <c r="F31" s="24" t="str">
        <f t="shared" si="6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5"/>
        <v/>
      </c>
      <c r="F32" s="24" t="str">
        <f t="shared" si="6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5"/>
        <v/>
      </c>
      <c r="F33" s="24" t="str">
        <f t="shared" si="6"/>
        <v/>
      </c>
      <c r="AC33" s="24" t="str">
        <f t="shared" ref="AC33:AD40" si="7">IF(OR(AC$14="",$E33=""),"",AB33)</f>
        <v/>
      </c>
      <c r="AD33" s="24" t="str">
        <f t="shared" si="7"/>
        <v/>
      </c>
    </row>
    <row r="34" spans="1:30" x14ac:dyDescent="0.2">
      <c r="C34"/>
      <c r="D34" s="25" t="str">
        <f t="shared" si="5"/>
        <v/>
      </c>
      <c r="F34" s="24" t="str">
        <f t="shared" si="6"/>
        <v/>
      </c>
      <c r="AC34" s="24" t="str">
        <f t="shared" si="7"/>
        <v/>
      </c>
      <c r="AD34" s="24" t="str">
        <f t="shared" si="7"/>
        <v/>
      </c>
    </row>
    <row r="35" spans="1:30" x14ac:dyDescent="0.2">
      <c r="C35"/>
      <c r="D35" s="25" t="str">
        <f t="shared" si="5"/>
        <v/>
      </c>
      <c r="F35" s="24" t="str">
        <f t="shared" si="6"/>
        <v/>
      </c>
      <c r="AC35" s="24" t="str">
        <f t="shared" si="7"/>
        <v/>
      </c>
      <c r="AD35" s="24" t="str">
        <f t="shared" si="7"/>
        <v/>
      </c>
    </row>
    <row r="36" spans="1:30" x14ac:dyDescent="0.2">
      <c r="C36"/>
      <c r="D36" s="25" t="str">
        <f t="shared" si="5"/>
        <v/>
      </c>
      <c r="F36" s="24" t="str">
        <f t="shared" si="6"/>
        <v/>
      </c>
      <c r="AC36" s="24" t="str">
        <f t="shared" si="7"/>
        <v/>
      </c>
      <c r="AD36" s="24" t="str">
        <f t="shared" si="7"/>
        <v/>
      </c>
    </row>
    <row r="37" spans="1:30" x14ac:dyDescent="0.2">
      <c r="C37"/>
      <c r="D37" s="25" t="str">
        <f t="shared" si="5"/>
        <v/>
      </c>
      <c r="F37" s="24" t="str">
        <f t="shared" si="6"/>
        <v/>
      </c>
      <c r="AC37" s="24" t="str">
        <f t="shared" si="7"/>
        <v/>
      </c>
      <c r="AD37" s="24" t="str">
        <f t="shared" si="7"/>
        <v/>
      </c>
    </row>
    <row r="38" spans="1:30" x14ac:dyDescent="0.2">
      <c r="C38"/>
      <c r="D38" s="25" t="str">
        <f t="shared" si="5"/>
        <v/>
      </c>
      <c r="F38" s="24" t="str">
        <f t="shared" si="6"/>
        <v/>
      </c>
      <c r="AC38" s="24" t="str">
        <f t="shared" si="7"/>
        <v/>
      </c>
      <c r="AD38" s="24" t="str">
        <f t="shared" si="7"/>
        <v/>
      </c>
    </row>
    <row r="39" spans="1:30" x14ac:dyDescent="0.2">
      <c r="C39"/>
      <c r="D39" s="25" t="str">
        <f t="shared" si="5"/>
        <v/>
      </c>
      <c r="F39" s="24" t="str">
        <f t="shared" si="6"/>
        <v/>
      </c>
      <c r="G39" s="24" t="str">
        <f t="shared" si="6"/>
        <v/>
      </c>
      <c r="H39" s="24" t="str">
        <f t="shared" si="6"/>
        <v/>
      </c>
      <c r="I39" s="24" t="str">
        <f t="shared" si="6"/>
        <v/>
      </c>
      <c r="J39" s="24" t="str">
        <f t="shared" si="6"/>
        <v/>
      </c>
      <c r="K39" s="24" t="str">
        <f t="shared" si="6"/>
        <v/>
      </c>
      <c r="L39" s="24" t="str">
        <f t="shared" si="6"/>
        <v/>
      </c>
      <c r="M39" s="24" t="str">
        <f t="shared" si="6"/>
        <v/>
      </c>
      <c r="N39" s="24" t="str">
        <f t="shared" si="6"/>
        <v/>
      </c>
      <c r="O39" s="24" t="str">
        <f t="shared" si="6"/>
        <v/>
      </c>
      <c r="P39" s="24" t="str">
        <f t="shared" si="6"/>
        <v/>
      </c>
      <c r="Q39" s="24" t="str">
        <f t="shared" si="6"/>
        <v/>
      </c>
      <c r="R39" s="24" t="str">
        <f t="shared" si="6"/>
        <v/>
      </c>
      <c r="S39" s="24" t="str">
        <f t="shared" si="6"/>
        <v/>
      </c>
      <c r="T39" s="24" t="str">
        <f t="shared" si="6"/>
        <v/>
      </c>
      <c r="U39" s="24" t="str">
        <f t="shared" si="6"/>
        <v/>
      </c>
      <c r="V39" s="24" t="str">
        <f t="shared" ref="V39:AB39" si="8">IF(OR(V$14="",$E39=""),"",U39)</f>
        <v/>
      </c>
      <c r="W39" s="24" t="str">
        <f t="shared" si="8"/>
        <v/>
      </c>
      <c r="X39" s="24" t="str">
        <f t="shared" si="8"/>
        <v/>
      </c>
      <c r="Y39" s="24" t="str">
        <f t="shared" si="8"/>
        <v/>
      </c>
      <c r="Z39" s="24" t="str">
        <f t="shared" si="8"/>
        <v/>
      </c>
      <c r="AA39" s="24" t="str">
        <f t="shared" si="8"/>
        <v/>
      </c>
      <c r="AB39" s="24" t="str">
        <f t="shared" si="8"/>
        <v/>
      </c>
      <c r="AC39" s="24" t="str">
        <f t="shared" si="7"/>
        <v/>
      </c>
      <c r="AD39" s="24" t="str">
        <f t="shared" si="7"/>
        <v/>
      </c>
    </row>
    <row r="40" spans="1:30" x14ac:dyDescent="0.2">
      <c r="C40"/>
      <c r="D40" s="25" t="str">
        <f t="shared" si="5"/>
        <v/>
      </c>
      <c r="F40" s="24" t="str">
        <f t="shared" ref="F40:AB40" si="9">IF(OR(F$14="",$E40=""),"",E40)</f>
        <v/>
      </c>
      <c r="G40" s="24" t="str">
        <f t="shared" si="9"/>
        <v/>
      </c>
      <c r="H40" s="24" t="str">
        <f t="shared" si="9"/>
        <v/>
      </c>
      <c r="I40" s="24" t="str">
        <f t="shared" si="9"/>
        <v/>
      </c>
      <c r="J40" s="24" t="str">
        <f t="shared" si="9"/>
        <v/>
      </c>
      <c r="K40" s="24" t="str">
        <f t="shared" si="9"/>
        <v/>
      </c>
      <c r="L40" s="24" t="str">
        <f t="shared" si="9"/>
        <v/>
      </c>
      <c r="M40" s="24" t="str">
        <f t="shared" si="9"/>
        <v/>
      </c>
      <c r="N40" s="24" t="str">
        <f t="shared" si="9"/>
        <v/>
      </c>
      <c r="O40" s="24" t="str">
        <f t="shared" si="9"/>
        <v/>
      </c>
      <c r="P40" s="24" t="str">
        <f t="shared" si="9"/>
        <v/>
      </c>
      <c r="Q40" s="24" t="str">
        <f t="shared" si="9"/>
        <v/>
      </c>
      <c r="R40" s="24" t="str">
        <f t="shared" si="9"/>
        <v/>
      </c>
      <c r="S40" s="24" t="str">
        <f t="shared" si="9"/>
        <v/>
      </c>
      <c r="T40" s="24" t="str">
        <f t="shared" si="9"/>
        <v/>
      </c>
      <c r="U40" s="24" t="str">
        <f t="shared" si="9"/>
        <v/>
      </c>
      <c r="V40" s="24" t="str">
        <f t="shared" si="9"/>
        <v/>
      </c>
      <c r="W40" s="24" t="str">
        <f t="shared" si="9"/>
        <v/>
      </c>
      <c r="X40" s="24" t="str">
        <f t="shared" si="9"/>
        <v/>
      </c>
      <c r="Y40" s="24" t="str">
        <f t="shared" si="9"/>
        <v/>
      </c>
      <c r="Z40" s="24" t="str">
        <f t="shared" si="9"/>
        <v/>
      </c>
      <c r="AA40" s="24" t="str">
        <f t="shared" si="9"/>
        <v/>
      </c>
      <c r="AB40" s="24" t="str">
        <f t="shared" si="9"/>
        <v/>
      </c>
      <c r="AC40" s="24" t="str">
        <f t="shared" si="7"/>
        <v/>
      </c>
      <c r="AD40" s="24" t="str">
        <f t="shared" si="7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0">IF(OR(AC$14="",$E42=""),"",AB42)</f>
        <v/>
      </c>
      <c r="AD42" s="24" t="str">
        <f t="shared" si="10"/>
        <v/>
      </c>
    </row>
    <row r="43" spans="1:30" x14ac:dyDescent="0.2">
      <c r="A43" s="23"/>
      <c r="C43"/>
      <c r="AC43" s="24" t="str">
        <f t="shared" si="10"/>
        <v/>
      </c>
      <c r="AD43" s="24" t="str">
        <f t="shared" si="10"/>
        <v/>
      </c>
    </row>
    <row r="44" spans="1:30" x14ac:dyDescent="0.2">
      <c r="A44" s="23"/>
      <c r="C44"/>
      <c r="AC44" s="24" t="str">
        <f t="shared" si="10"/>
        <v/>
      </c>
      <c r="AD44" s="24" t="str">
        <f t="shared" si="10"/>
        <v/>
      </c>
    </row>
    <row r="45" spans="1:30" x14ac:dyDescent="0.2">
      <c r="A45" s="23"/>
      <c r="C45"/>
      <c r="AC45" s="24" t="str">
        <f t="shared" si="10"/>
        <v/>
      </c>
      <c r="AD45" s="24" t="str">
        <f t="shared" si="10"/>
        <v/>
      </c>
    </row>
    <row r="46" spans="1:30" x14ac:dyDescent="0.2">
      <c r="A46" s="23"/>
      <c r="C46"/>
      <c r="AC46" s="24" t="str">
        <f t="shared" si="10"/>
        <v/>
      </c>
      <c r="AD46" s="24" t="str">
        <f t="shared" si="10"/>
        <v/>
      </c>
    </row>
    <row r="47" spans="1:30" x14ac:dyDescent="0.2">
      <c r="A47" s="23"/>
      <c r="C47"/>
      <c r="AC47" s="24" t="str">
        <f t="shared" si="10"/>
        <v/>
      </c>
      <c r="AD47" s="24" t="str">
        <f t="shared" si="10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1">IF(OR(AC$14="",$E49=""),"",AB49)</f>
        <v/>
      </c>
      <c r="AD49" s="24" t="str">
        <f t="shared" si="11"/>
        <v/>
      </c>
    </row>
    <row r="50" spans="1:30" x14ac:dyDescent="0.2">
      <c r="A50" s="23"/>
      <c r="C50"/>
      <c r="AC50" s="24" t="str">
        <f t="shared" si="11"/>
        <v/>
      </c>
      <c r="AD50" s="24" t="str">
        <f t="shared" si="11"/>
        <v/>
      </c>
    </row>
    <row r="51" spans="1:30" x14ac:dyDescent="0.2">
      <c r="A51" s="23"/>
      <c r="C51"/>
      <c r="AC51" s="24" t="str">
        <f t="shared" si="11"/>
        <v/>
      </c>
      <c r="AD51" s="24" t="str">
        <f t="shared" si="11"/>
        <v/>
      </c>
    </row>
    <row r="52" spans="1:30" x14ac:dyDescent="0.2">
      <c r="A52" s="23"/>
      <c r="C52"/>
      <c r="AC52" s="24" t="str">
        <f t="shared" si="11"/>
        <v/>
      </c>
      <c r="AD52" s="24" t="str">
        <f t="shared" si="11"/>
        <v/>
      </c>
    </row>
    <row r="53" spans="1:30" x14ac:dyDescent="0.2">
      <c r="A53" s="23"/>
      <c r="C53"/>
      <c r="AC53" s="24" t="str">
        <f t="shared" si="11"/>
        <v/>
      </c>
      <c r="AD53" s="24" t="str">
        <f t="shared" si="11"/>
        <v/>
      </c>
    </row>
    <row r="54" spans="1:30" x14ac:dyDescent="0.2">
      <c r="A54" s="23"/>
      <c r="C54"/>
      <c r="AC54" s="24" t="str">
        <f t="shared" si="11"/>
        <v/>
      </c>
      <c r="AD54" s="24" t="str">
        <f t="shared" si="11"/>
        <v/>
      </c>
    </row>
    <row r="55" spans="1:30" x14ac:dyDescent="0.2">
      <c r="A55" s="23"/>
      <c r="C55"/>
      <c r="AC55" s="24" t="str">
        <f t="shared" si="11"/>
        <v/>
      </c>
      <c r="AD55" s="24" t="str">
        <f t="shared" si="11"/>
        <v/>
      </c>
    </row>
    <row r="56" spans="1:30" x14ac:dyDescent="0.2">
      <c r="A56" s="23"/>
      <c r="C56"/>
      <c r="AC56" s="24" t="str">
        <f t="shared" si="11"/>
        <v/>
      </c>
      <c r="AD56" s="24" t="str">
        <f t="shared" si="11"/>
        <v/>
      </c>
    </row>
    <row r="57" spans="1:30" x14ac:dyDescent="0.2">
      <c r="A57" s="23"/>
      <c r="C57"/>
      <c r="AC57" s="24" t="str">
        <f t="shared" si="11"/>
        <v/>
      </c>
      <c r="AD57" s="24" t="str">
        <f t="shared" si="11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2">IF(OR(AC$14="",$E59=""),"",AB59)</f>
        <v/>
      </c>
      <c r="AD59" s="24" t="str">
        <f t="shared" si="12"/>
        <v/>
      </c>
    </row>
    <row r="60" spans="1:30" x14ac:dyDescent="0.2">
      <c r="A60" s="23"/>
      <c r="C60"/>
      <c r="AC60" s="24" t="str">
        <f t="shared" si="12"/>
        <v/>
      </c>
      <c r="AD60" s="24" t="str">
        <f t="shared" si="12"/>
        <v/>
      </c>
    </row>
    <row r="61" spans="1:30" x14ac:dyDescent="0.2">
      <c r="A61" s="23"/>
      <c r="C61"/>
      <c r="AC61" s="24" t="str">
        <f t="shared" si="12"/>
        <v/>
      </c>
      <c r="AD61" s="24" t="str">
        <f t="shared" si="12"/>
        <v/>
      </c>
    </row>
    <row r="62" spans="1:30" x14ac:dyDescent="0.2">
      <c r="A62" s="23"/>
      <c r="C62"/>
      <c r="AC62" s="24" t="str">
        <f t="shared" si="12"/>
        <v/>
      </c>
      <c r="AD62" s="24" t="str">
        <f t="shared" si="12"/>
        <v/>
      </c>
    </row>
    <row r="63" spans="1:30" x14ac:dyDescent="0.2">
      <c r="A63" s="23"/>
      <c r="C63"/>
      <c r="AC63" s="24" t="str">
        <f t="shared" si="12"/>
        <v/>
      </c>
      <c r="AD63" s="24" t="str">
        <f t="shared" si="12"/>
        <v/>
      </c>
    </row>
    <row r="64" spans="1:30" x14ac:dyDescent="0.2">
      <c r="C64"/>
      <c r="D64" s="25" t="str">
        <f t="shared" ref="D64" si="13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4" priority="1" stopIfTrue="1">
      <formula>$D15="Done"</formula>
    </cfRule>
    <cfRule type="expression" dxfId="3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51"/>
  <sheetViews>
    <sheetView workbookViewId="0">
      <selection activeCell="C28" sqref="C28"/>
    </sheetView>
  </sheetViews>
  <sheetFormatPr baseColWidth="10" defaultRowHeight="12.75" x14ac:dyDescent="0.2"/>
  <cols>
    <col min="1" max="1" width="11.85546875" customWidth="1"/>
    <col min="2" max="4" width="9.14062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  <col min="18" max="256" width="9.140625" customWidth="1"/>
  </cols>
  <sheetData>
    <row r="1" spans="1:26" ht="18" x14ac:dyDescent="0.2">
      <c r="A1" s="70" t="s">
        <v>76</v>
      </c>
    </row>
    <row r="3" spans="1:26" x14ac:dyDescent="0.2">
      <c r="A3" t="s">
        <v>29</v>
      </c>
      <c r="D3">
        <v>137</v>
      </c>
      <c r="F3" t="s">
        <v>31</v>
      </c>
      <c r="G3" s="42">
        <f>IF(COUNT(B28:B39)=0,1,COUNT(B28:B39))</f>
        <v>5</v>
      </c>
    </row>
    <row r="4" spans="1:26" x14ac:dyDescent="0.2">
      <c r="A4" t="s">
        <v>32</v>
      </c>
      <c r="D4">
        <v>5</v>
      </c>
      <c r="E4" t="s">
        <v>33</v>
      </c>
      <c r="F4" t="s">
        <v>50</v>
      </c>
      <c r="G4" s="42">
        <f>IF(COUNT(D28:D51)=0,1,COUNT(D28:D51)+1)</f>
        <v>3</v>
      </c>
    </row>
    <row r="5" spans="1:26" x14ac:dyDescent="0.2">
      <c r="F5" t="s">
        <v>34</v>
      </c>
      <c r="G5" s="42">
        <f>IF(G4&gt;D4,G4-D4,0)</f>
        <v>0</v>
      </c>
      <c r="Z5" s="26"/>
    </row>
    <row r="6" spans="1:26" x14ac:dyDescent="0.2">
      <c r="A6" s="1" t="s">
        <v>64</v>
      </c>
      <c r="F6" t="s">
        <v>35</v>
      </c>
      <c r="G6" s="42">
        <f>TrendSprintCount-TrendOffset</f>
        <v>3</v>
      </c>
      <c r="Z6" s="26"/>
    </row>
    <row r="7" spans="1:26" x14ac:dyDescent="0.2">
      <c r="A7" t="s">
        <v>38</v>
      </c>
      <c r="D7">
        <v>30</v>
      </c>
      <c r="Z7" s="26"/>
    </row>
    <row r="8" spans="1:26" x14ac:dyDescent="0.2">
      <c r="A8" s="76">
        <f>D$4</f>
        <v>5</v>
      </c>
      <c r="B8" s="76"/>
      <c r="D8" s="45">
        <f ca="1">IF(D28="","",AVERAGE(OFFSET(D27,TrendOffset,0,SprintsInTrend,1)))</f>
        <v>25</v>
      </c>
      <c r="Z8" s="26"/>
    </row>
    <row r="9" spans="1:26" x14ac:dyDescent="0.2">
      <c r="A9" t="s">
        <v>51</v>
      </c>
      <c r="D9" s="45">
        <f ca="1">IF(D28="","",AVERAGE(OFFSET(D27,1,0,SprintCount,1)))</f>
        <v>25</v>
      </c>
      <c r="F9" t="s">
        <v>43</v>
      </c>
      <c r="G9" s="42">
        <f ca="1">IF(M28="",1,COUNT(M28:M110))</f>
        <v>7</v>
      </c>
      <c r="Z9" s="26"/>
    </row>
    <row r="10" spans="1:26" x14ac:dyDescent="0.2">
      <c r="A10" t="s">
        <v>40</v>
      </c>
      <c r="D10" s="45">
        <f ca="1">IF(D28="","",AVERAGE(LastEight))</f>
        <v>25</v>
      </c>
      <c r="Z10" s="26"/>
    </row>
    <row r="11" spans="1:26" x14ac:dyDescent="0.2">
      <c r="A11" t="s">
        <v>41</v>
      </c>
      <c r="D11" s="45">
        <f ca="1">IF(D28="","",IF(TrendSprintCount&lt;4,D10,AVERAGE(SMALL(LastEight,1),SMALL(LastEight,2),SMALL(LastEight,3))))</f>
        <v>25</v>
      </c>
      <c r="Z11" s="26"/>
    </row>
    <row r="12" spans="1:26" x14ac:dyDescent="0.2">
      <c r="A12" t="s">
        <v>19</v>
      </c>
      <c r="D12" s="45">
        <f ca="1">IF(M29="","",M28-M29)</f>
        <v>25</v>
      </c>
      <c r="Z12" s="26"/>
    </row>
    <row r="13" spans="1:26" x14ac:dyDescent="0.2">
      <c r="F13" s="43" t="s">
        <v>44</v>
      </c>
      <c r="Z13" s="26"/>
    </row>
    <row r="14" spans="1:26" x14ac:dyDescent="0.2">
      <c r="A14" s="1" t="s">
        <v>45</v>
      </c>
    </row>
    <row r="15" spans="1:26" x14ac:dyDescent="0.2">
      <c r="A15" t="s">
        <v>46</v>
      </c>
      <c r="D15" s="46">
        <f>IF(D7="",0,ROUNDUP(D3/D7*0.6,0))</f>
        <v>3</v>
      </c>
    </row>
    <row r="16" spans="1:26" x14ac:dyDescent="0.2">
      <c r="A16" t="s">
        <v>48</v>
      </c>
      <c r="D16" s="46">
        <f>IF(D7="",0,ROUNDUP(D3/D7,0))</f>
        <v>5</v>
      </c>
    </row>
    <row r="17" spans="1:17" x14ac:dyDescent="0.2">
      <c r="A17" t="s">
        <v>47</v>
      </c>
      <c r="D17" s="46">
        <f>IF(D7="",0,ROUNDUP(D3/D7*1.6,0))</f>
        <v>8</v>
      </c>
      <c r="F17" t="s">
        <v>52</v>
      </c>
      <c r="G17">
        <f>IF(OR(D28="",D29=""),1,STDEV(D28:D51))</f>
        <v>2.8284271247461903</v>
      </c>
    </row>
    <row r="18" spans="1:17" x14ac:dyDescent="0.2">
      <c r="A18" s="76">
        <f>D$4</f>
        <v>5</v>
      </c>
      <c r="B18" s="76"/>
      <c r="D18" s="46">
        <f ca="1">IF(D8="","",IF(LastRealized="",ROUNDUP(LastPlanned/D8,0)+SprintCount-1,ROUNDUP((LastPlanned-LastRealized)/D8+SprintCount,0)))</f>
        <v>6</v>
      </c>
    </row>
    <row r="19" spans="1:17" x14ac:dyDescent="0.2">
      <c r="A19" t="s">
        <v>39</v>
      </c>
      <c r="D19" s="46">
        <f ca="1">IF(D9="","",IF(LastRealized="",ROUNDUP(LastPlanned/D9+SprintCount-1,0),ROUNDUP((LastPlanned-LastRealized)/D9,0)+SprintCount))</f>
        <v>6</v>
      </c>
      <c r="F19" t="s">
        <v>55</v>
      </c>
      <c r="G19">
        <f ca="1">LastPlanned</f>
        <v>28</v>
      </c>
    </row>
    <row r="20" spans="1:17" x14ac:dyDescent="0.2">
      <c r="A20" t="s">
        <v>40</v>
      </c>
      <c r="D20" s="46">
        <f ca="1">IF(D10="","",IF(LastRealized="",ROUNDUP(LastPlanned/D10+SprintCount-1,0),ROUNDUP((LastPlanned-LastRealized)/D10,0)+SprintCount))</f>
        <v>6</v>
      </c>
      <c r="F20" t="s">
        <v>56</v>
      </c>
      <c r="G20">
        <f ca="1">LastRealized</f>
        <v>0</v>
      </c>
    </row>
    <row r="21" spans="1:17" x14ac:dyDescent="0.2">
      <c r="A21" t="s">
        <v>41</v>
      </c>
      <c r="D21" s="46">
        <f ca="1">IF(D11="","",IF(LastRealized="",ROUNDUP(LastPlanned/D11+SprintCount-1,0),ROUNDUP((LastPlanned-LastRealized)/D11,0)+SprintCount))</f>
        <v>6</v>
      </c>
    </row>
    <row r="22" spans="1:17" x14ac:dyDescent="0.2">
      <c r="A22" t="s">
        <v>19</v>
      </c>
      <c r="D22" s="46">
        <f ca="1">IF(COUNT(M28:M51)-1&gt;0,COUNT(M28:M51)-1,"")</f>
        <v>6</v>
      </c>
    </row>
    <row r="23" spans="1:17" x14ac:dyDescent="0.2">
      <c r="A23" t="s">
        <v>53</v>
      </c>
      <c r="D23" s="46">
        <f ca="1">IF(D9="","",IF(LastRealized="",ROUNDUP(LastPlanned/(D9+G17)+SprintCount-1,0),ROUNDUP((LastPlanned-LastRealized)/(D9+G17)+SprintCount,0)))</f>
        <v>6</v>
      </c>
    </row>
    <row r="24" spans="1:17" x14ac:dyDescent="0.2">
      <c r="A24" t="s">
        <v>54</v>
      </c>
      <c r="D24" s="46">
        <f ca="1">IF(D9="","",IF(LastRealized="",ROUNDUP(LastPlanned/(D9-G17)+SprintCount-1,0),ROUNDUP((LastPlanned-LastRealized)/(D9-G17)+SprintCount,0)))</f>
        <v>6</v>
      </c>
    </row>
    <row r="26" spans="1:17" ht="12.75" customHeight="1" x14ac:dyDescent="0.2">
      <c r="F26" s="78" t="s">
        <v>19</v>
      </c>
      <c r="G26" s="78"/>
      <c r="H26" s="78"/>
      <c r="I26" s="78"/>
      <c r="J26" s="78"/>
      <c r="K26" s="78"/>
      <c r="L26" s="78"/>
      <c r="M26" s="78"/>
      <c r="N26" s="78"/>
      <c r="O26" s="78" t="s">
        <v>61</v>
      </c>
      <c r="P26" s="78"/>
      <c r="Q26" s="78"/>
    </row>
    <row r="27" spans="1:17" s="3" customFormat="1" ht="26.25" thickBot="1" x14ac:dyDescent="0.25">
      <c r="A27" s="47" t="s">
        <v>11</v>
      </c>
      <c r="B27" s="48" t="s">
        <v>57</v>
      </c>
      <c r="C27" s="48" t="s">
        <v>58</v>
      </c>
      <c r="D27" s="49" t="s">
        <v>59</v>
      </c>
      <c r="E27" s="49" t="s">
        <v>60</v>
      </c>
      <c r="F27" s="50" t="s">
        <v>27</v>
      </c>
      <c r="G27" s="77" t="s">
        <v>30</v>
      </c>
      <c r="H27" s="77"/>
      <c r="I27" s="50" t="s">
        <v>28</v>
      </c>
      <c r="J27" s="51"/>
      <c r="K27" s="50" t="s">
        <v>49</v>
      </c>
      <c r="L27" s="50" t="s">
        <v>42</v>
      </c>
      <c r="M27" s="50" t="s">
        <v>37</v>
      </c>
      <c r="N27" s="52" t="s">
        <v>36</v>
      </c>
      <c r="O27" s="50" t="s">
        <v>26</v>
      </c>
      <c r="P27" s="50" t="s">
        <v>62</v>
      </c>
      <c r="Q27" s="50" t="s">
        <v>63</v>
      </c>
    </row>
    <row r="28" spans="1:17" x14ac:dyDescent="0.2">
      <c r="A28" s="44">
        <v>1</v>
      </c>
      <c r="B28" s="2">
        <f>D3</f>
        <v>137</v>
      </c>
      <c r="C28" s="2">
        <v>23</v>
      </c>
      <c r="D28" s="2">
        <v>23</v>
      </c>
      <c r="E28" s="44">
        <f>B28</f>
        <v>137</v>
      </c>
      <c r="F28" s="42">
        <f>B28</f>
        <v>137</v>
      </c>
      <c r="G28" s="42">
        <f t="shared" ref="G28:G51" si="0">F28</f>
        <v>137</v>
      </c>
      <c r="H28" s="42">
        <f t="shared" ref="H28:H33" si="1">I28</f>
        <v>0</v>
      </c>
      <c r="I28" s="42">
        <v>0</v>
      </c>
      <c r="K28">
        <f t="shared" ref="K28:K33" si="2">IF(F28&lt;I28,I28,F28)</f>
        <v>137</v>
      </c>
      <c r="L28" s="4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42">
        <f ca="1">L28</f>
        <v>137.66666666666669</v>
      </c>
      <c r="N28" s="42">
        <f t="shared" ref="N28:N51" ca="1" si="4">OFFSET($I$27,TrendSprintCount,0,1,1)</f>
        <v>0</v>
      </c>
      <c r="O28" s="53">
        <f t="shared" ref="O28:O51" ca="1" si="5">D$9</f>
        <v>25</v>
      </c>
      <c r="P28" s="53">
        <f t="shared" ref="P28:P51" ca="1" si="6">D$10</f>
        <v>25</v>
      </c>
      <c r="Q28" s="53">
        <f t="shared" ref="Q28:Q51" ca="1" si="7">D$11</f>
        <v>25</v>
      </c>
    </row>
    <row r="29" spans="1:17" x14ac:dyDescent="0.2">
      <c r="A29" s="44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44">
        <f>IF(B29="","",IF(D28="",E28,B29+SUM(D$28:D28)))</f>
        <v>137</v>
      </c>
      <c r="F29" s="42">
        <f t="shared" ref="F29:F34" si="9">IF(B29="",IF(B28="","",IF(D28="","",I28)),IF(AND(D28="",C28=""),"",IF(AND(D28="",C28&lt;&gt;""),IF(I28&gt;F28,F28,I28),F28-D28)))</f>
        <v>114</v>
      </c>
      <c r="G29" s="42">
        <f t="shared" si="0"/>
        <v>114</v>
      </c>
      <c r="H29" s="42">
        <f t="shared" si="1"/>
        <v>0</v>
      </c>
      <c r="I29" s="42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42">
        <f t="shared" ca="1" si="3"/>
        <v>112.66666666666669</v>
      </c>
      <c r="M29" s="42">
        <f ca="1">IF(L29=L28,"",L29)</f>
        <v>112.66666666666669</v>
      </c>
      <c r="N29" s="42">
        <f t="shared" ca="1" si="4"/>
        <v>0</v>
      </c>
      <c r="O29" s="53">
        <f t="shared" ca="1" si="5"/>
        <v>25</v>
      </c>
      <c r="P29" s="53">
        <f t="shared" ca="1" si="6"/>
        <v>25</v>
      </c>
      <c r="Q29" s="53">
        <f t="shared" ca="1" si="7"/>
        <v>25</v>
      </c>
    </row>
    <row r="30" spans="1:17" x14ac:dyDescent="0.2">
      <c r="A30" s="44">
        <v>3</v>
      </c>
      <c r="B30" s="2">
        <f t="shared" si="8"/>
        <v>87</v>
      </c>
      <c r="C30" s="2">
        <v>31</v>
      </c>
      <c r="D30" s="2"/>
      <c r="E30" s="44">
        <f>IF(B30="","",IF(D29="",E29,B30+SUM(D$28:D29)))</f>
        <v>137</v>
      </c>
      <c r="F30" s="42">
        <f t="shared" si="9"/>
        <v>87</v>
      </c>
      <c r="G30" s="42">
        <f t="shared" si="0"/>
        <v>87</v>
      </c>
      <c r="H30" s="42">
        <f t="shared" si="1"/>
        <v>0</v>
      </c>
      <c r="I30" s="42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42">
        <f t="shared" ca="1" si="3"/>
        <v>87.666666666666686</v>
      </c>
      <c r="M30" s="42">
        <f t="shared" ref="M30:M51" ca="1" si="10">IF(L30=L29,"",L30)</f>
        <v>87.666666666666686</v>
      </c>
      <c r="N30" s="42">
        <f t="shared" ca="1" si="4"/>
        <v>0</v>
      </c>
      <c r="O30" s="53">
        <f t="shared" ca="1" si="5"/>
        <v>25</v>
      </c>
      <c r="P30" s="53">
        <f t="shared" ca="1" si="6"/>
        <v>25</v>
      </c>
      <c r="Q30" s="53">
        <f t="shared" ca="1" si="7"/>
        <v>25</v>
      </c>
    </row>
    <row r="31" spans="1:17" x14ac:dyDescent="0.2">
      <c r="A31" s="44">
        <v>4</v>
      </c>
      <c r="B31" s="2">
        <f t="shared" si="8"/>
        <v>56</v>
      </c>
      <c r="C31" s="2">
        <v>28</v>
      </c>
      <c r="D31" s="2"/>
      <c r="E31" s="44">
        <f>IF(B31="","",IF(D30="",E30,B31+SUM(D$28:D30)))</f>
        <v>137</v>
      </c>
      <c r="F31" s="42">
        <f t="shared" si="9"/>
        <v>0</v>
      </c>
      <c r="G31" s="42">
        <f t="shared" si="0"/>
        <v>0</v>
      </c>
      <c r="H31" s="42">
        <f t="shared" si="1"/>
        <v>56</v>
      </c>
      <c r="I31" s="42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42">
        <f t="shared" ca="1" si="3"/>
        <v>62.666666666666686</v>
      </c>
      <c r="M31" s="42">
        <f t="shared" ca="1" si="10"/>
        <v>62.666666666666686</v>
      </c>
      <c r="N31" s="42">
        <f t="shared" ca="1" si="4"/>
        <v>0</v>
      </c>
      <c r="O31" s="53">
        <f t="shared" ca="1" si="5"/>
        <v>25</v>
      </c>
      <c r="P31" s="53">
        <f t="shared" ca="1" si="6"/>
        <v>25</v>
      </c>
      <c r="Q31" s="53">
        <f t="shared" ca="1" si="7"/>
        <v>25</v>
      </c>
    </row>
    <row r="32" spans="1:17" x14ac:dyDescent="0.2">
      <c r="A32" s="44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44">
        <f>IF(B32="","",IF(D31="",E31,B32+SUM(D$28:D31)))</f>
        <v>137</v>
      </c>
      <c r="F32" s="42">
        <f t="shared" si="9"/>
        <v>0</v>
      </c>
      <c r="G32" s="42">
        <f t="shared" si="0"/>
        <v>0</v>
      </c>
      <c r="H32" s="42">
        <f t="shared" si="1"/>
        <v>28</v>
      </c>
      <c r="I32" s="42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42">
        <f t="shared" ca="1" si="3"/>
        <v>37.666666666666686</v>
      </c>
      <c r="M32" s="42">
        <f t="shared" ca="1" si="10"/>
        <v>37.666666666666686</v>
      </c>
      <c r="N32" s="42">
        <f t="shared" ca="1" si="4"/>
        <v>0</v>
      </c>
      <c r="O32" s="53">
        <f t="shared" ca="1" si="5"/>
        <v>25</v>
      </c>
      <c r="P32" s="53">
        <f t="shared" ca="1" si="6"/>
        <v>25</v>
      </c>
      <c r="Q32" s="53">
        <f t="shared" ca="1" si="7"/>
        <v>25</v>
      </c>
    </row>
    <row r="33" spans="1:17" x14ac:dyDescent="0.2">
      <c r="A33" s="44">
        <v>6</v>
      </c>
      <c r="B33" s="2" t="str">
        <f>IF(OR(B32="",C32=""),"",IF(D32="",IF(B32-C32&lt;=0,"",B32-C32),IF(B32-D32&lt;=0,"",B32-D32)))</f>
        <v/>
      </c>
      <c r="C33" s="2"/>
      <c r="D33" s="2"/>
      <c r="E33" s="44" t="str">
        <f>IF(B33="","",IF(D32="",E32,B33+SUM(D$28:D32)))</f>
        <v/>
      </c>
      <c r="F33" s="42" t="str">
        <f t="shared" si="9"/>
        <v/>
      </c>
      <c r="G33" s="42" t="str">
        <f t="shared" si="0"/>
        <v/>
      </c>
      <c r="H33" s="42" t="str">
        <f t="shared" si="1"/>
        <v/>
      </c>
      <c r="I33" s="4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2">
        <f t="shared" ca="1" si="3"/>
        <v>12.666666666666686</v>
      </c>
      <c r="M33" s="42">
        <f t="shared" ca="1" si="10"/>
        <v>12.666666666666686</v>
      </c>
      <c r="N33" s="42">
        <f t="shared" ca="1" si="4"/>
        <v>0</v>
      </c>
      <c r="O33" s="53">
        <f t="shared" ca="1" si="5"/>
        <v>25</v>
      </c>
      <c r="P33" s="53">
        <f t="shared" ca="1" si="6"/>
        <v>25</v>
      </c>
      <c r="Q33" s="53">
        <f t="shared" ca="1" si="7"/>
        <v>25</v>
      </c>
    </row>
    <row r="34" spans="1:17" x14ac:dyDescent="0.2">
      <c r="A34" s="44">
        <v>7</v>
      </c>
      <c r="B34" s="2" t="str">
        <f>IF(OR(B33="",C33=""),"",IF(D33="",IF(B33-C33&lt;=0,"",B33-C33),IF(B33-D33&lt;=0,"",B33-D33)))</f>
        <v/>
      </c>
      <c r="C34" s="2"/>
      <c r="D34" s="2"/>
      <c r="E34" s="44" t="str">
        <f>IF(B34="","",IF(D33="",E33,B34+SUM(D$28:D33)))</f>
        <v/>
      </c>
      <c r="F34" s="42" t="str">
        <f t="shared" si="9"/>
        <v/>
      </c>
      <c r="G34" s="42" t="str">
        <f t="shared" si="0"/>
        <v/>
      </c>
      <c r="H34" s="42" t="str">
        <f t="shared" ref="H34:H51" si="11">I34</f>
        <v/>
      </c>
      <c r="I34" s="4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2">
        <f t="shared" ca="1" si="3"/>
        <v>0</v>
      </c>
      <c r="M34" s="42">
        <f t="shared" ca="1" si="10"/>
        <v>0</v>
      </c>
      <c r="N34" s="42">
        <f t="shared" ca="1" si="4"/>
        <v>0</v>
      </c>
      <c r="O34" s="53">
        <f t="shared" ca="1" si="5"/>
        <v>25</v>
      </c>
      <c r="P34" s="53">
        <f t="shared" ca="1" si="6"/>
        <v>25</v>
      </c>
      <c r="Q34" s="53">
        <f t="shared" ca="1" si="7"/>
        <v>25</v>
      </c>
    </row>
    <row r="35" spans="1:17" x14ac:dyDescent="0.2">
      <c r="A35" s="44">
        <v>8</v>
      </c>
      <c r="B35" s="2" t="str">
        <f t="shared" si="8"/>
        <v/>
      </c>
      <c r="C35" s="2"/>
      <c r="D35" s="2"/>
      <c r="E35" s="44" t="str">
        <f>IF(B35="","",IF(D34="",E34,B35+SUM(D$28:D34)))</f>
        <v/>
      </c>
      <c r="F35" s="42" t="str">
        <f t="shared" ref="F35:F51" si="13">IF(B35="",IF(B34="","",IF(D34="","",I34)),IF(AND(D34="",C34=""),"",IF(AND(D34="",C34&lt;&gt;""),IF(I34&gt;F34,F34,I34),F34-D34)))</f>
        <v/>
      </c>
      <c r="G35" s="42" t="str">
        <f t="shared" si="0"/>
        <v/>
      </c>
      <c r="H35" s="42" t="str">
        <f t="shared" si="11"/>
        <v/>
      </c>
      <c r="I35" s="4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2">
        <f t="shared" ca="1" si="3"/>
        <v>0</v>
      </c>
      <c r="M35" s="42" t="str">
        <f t="shared" ca="1" si="10"/>
        <v/>
      </c>
      <c r="N35" s="42">
        <f t="shared" ca="1" si="4"/>
        <v>0</v>
      </c>
      <c r="O35" s="53">
        <f t="shared" ca="1" si="5"/>
        <v>25</v>
      </c>
      <c r="P35" s="53">
        <f t="shared" ca="1" si="6"/>
        <v>25</v>
      </c>
      <c r="Q35" s="53">
        <f t="shared" ca="1" si="7"/>
        <v>25</v>
      </c>
    </row>
    <row r="36" spans="1:17" x14ac:dyDescent="0.2">
      <c r="A36" s="44">
        <v>9</v>
      </c>
      <c r="B36" s="2" t="str">
        <f t="shared" si="8"/>
        <v/>
      </c>
      <c r="C36" s="2"/>
      <c r="D36" s="2"/>
      <c r="E36" s="44" t="str">
        <f>IF(B36="","",IF(D35="",E35,B36+SUM(D$28:D35)))</f>
        <v/>
      </c>
      <c r="F36" s="42" t="str">
        <f t="shared" si="13"/>
        <v/>
      </c>
      <c r="G36" s="42" t="str">
        <f t="shared" si="0"/>
        <v/>
      </c>
      <c r="H36" s="42" t="str">
        <f t="shared" si="11"/>
        <v/>
      </c>
      <c r="I36" s="4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2">
        <f t="shared" ca="1" si="3"/>
        <v>0</v>
      </c>
      <c r="M36" s="42" t="str">
        <f t="shared" ca="1" si="10"/>
        <v/>
      </c>
      <c r="N36" s="42">
        <f t="shared" ca="1" si="4"/>
        <v>0</v>
      </c>
      <c r="O36" s="53">
        <f t="shared" ca="1" si="5"/>
        <v>25</v>
      </c>
      <c r="P36" s="53">
        <f t="shared" ca="1" si="6"/>
        <v>25</v>
      </c>
      <c r="Q36" s="53">
        <f t="shared" ca="1" si="7"/>
        <v>25</v>
      </c>
    </row>
    <row r="37" spans="1:17" x14ac:dyDescent="0.2">
      <c r="A37" s="44">
        <v>10</v>
      </c>
      <c r="B37" s="2" t="str">
        <f t="shared" si="8"/>
        <v/>
      </c>
      <c r="C37" s="2"/>
      <c r="D37" s="2"/>
      <c r="E37" s="44" t="str">
        <f>IF(B37="","",IF(D36="",E36,B37+SUM(D$28:D36)))</f>
        <v/>
      </c>
      <c r="F37" s="42" t="str">
        <f t="shared" si="13"/>
        <v/>
      </c>
      <c r="G37" s="42" t="str">
        <f t="shared" si="0"/>
        <v/>
      </c>
      <c r="H37" s="42" t="str">
        <f t="shared" si="11"/>
        <v/>
      </c>
      <c r="I37" s="4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2">
        <f t="shared" ca="1" si="3"/>
        <v>0</v>
      </c>
      <c r="M37" s="42" t="str">
        <f t="shared" ca="1" si="10"/>
        <v/>
      </c>
      <c r="N37" s="42">
        <f t="shared" ca="1" si="4"/>
        <v>0</v>
      </c>
      <c r="O37" s="53">
        <f t="shared" ca="1" si="5"/>
        <v>25</v>
      </c>
      <c r="P37" s="53">
        <f t="shared" ca="1" si="6"/>
        <v>25</v>
      </c>
      <c r="Q37" s="53">
        <f t="shared" ca="1" si="7"/>
        <v>25</v>
      </c>
    </row>
    <row r="38" spans="1:17" x14ac:dyDescent="0.2">
      <c r="A38" s="44">
        <v>11</v>
      </c>
      <c r="B38" s="2" t="str">
        <f t="shared" si="8"/>
        <v/>
      </c>
      <c r="C38" s="2"/>
      <c r="D38" s="2"/>
      <c r="E38" s="44" t="str">
        <f>IF(B38="","",IF(D37="",E37,B38+SUM(D$28:D37)))</f>
        <v/>
      </c>
      <c r="F38" s="42" t="str">
        <f t="shared" si="13"/>
        <v/>
      </c>
      <c r="G38" s="42" t="str">
        <f t="shared" si="0"/>
        <v/>
      </c>
      <c r="H38" s="42" t="str">
        <f t="shared" si="11"/>
        <v/>
      </c>
      <c r="I38" s="4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2">
        <f t="shared" ca="1" si="3"/>
        <v>0</v>
      </c>
      <c r="M38" s="42" t="str">
        <f t="shared" ca="1" si="10"/>
        <v/>
      </c>
      <c r="N38" s="42">
        <f t="shared" ca="1" si="4"/>
        <v>0</v>
      </c>
      <c r="O38" s="53">
        <f t="shared" ca="1" si="5"/>
        <v>25</v>
      </c>
      <c r="P38" s="53">
        <f t="shared" ca="1" si="6"/>
        <v>25</v>
      </c>
      <c r="Q38" s="53">
        <f t="shared" ca="1" si="7"/>
        <v>25</v>
      </c>
    </row>
    <row r="39" spans="1:17" x14ac:dyDescent="0.2">
      <c r="A39" s="44">
        <v>12</v>
      </c>
      <c r="B39" s="2" t="str">
        <f t="shared" si="8"/>
        <v/>
      </c>
      <c r="C39" s="2"/>
      <c r="D39" s="2"/>
      <c r="E39" s="44" t="str">
        <f>IF(B39="","",IF(D38="",E38,B39+SUM(D$28:D38)))</f>
        <v/>
      </c>
      <c r="F39" s="42" t="str">
        <f t="shared" si="13"/>
        <v/>
      </c>
      <c r="G39" s="42" t="str">
        <f t="shared" si="0"/>
        <v/>
      </c>
      <c r="H39" s="42" t="str">
        <f t="shared" si="11"/>
        <v/>
      </c>
      <c r="I39" s="4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2">
        <f t="shared" ca="1" si="3"/>
        <v>0</v>
      </c>
      <c r="M39" s="42" t="str">
        <f t="shared" ca="1" si="10"/>
        <v/>
      </c>
      <c r="N39" s="42">
        <f t="shared" ca="1" si="4"/>
        <v>0</v>
      </c>
      <c r="O39" s="53">
        <f t="shared" ca="1" si="5"/>
        <v>25</v>
      </c>
      <c r="P39" s="53">
        <f t="shared" ca="1" si="6"/>
        <v>25</v>
      </c>
      <c r="Q39" s="53">
        <f t="shared" ca="1" si="7"/>
        <v>25</v>
      </c>
    </row>
    <row r="40" spans="1:17" x14ac:dyDescent="0.2">
      <c r="A40" s="44">
        <v>13</v>
      </c>
      <c r="B40" s="2" t="str">
        <f t="shared" si="8"/>
        <v/>
      </c>
      <c r="C40" s="2"/>
      <c r="E40" s="44" t="str">
        <f>IF(B40="","",IF(D39="",E39,B40+SUM(D$28:D39)))</f>
        <v/>
      </c>
      <c r="F40" s="42" t="str">
        <f t="shared" si="13"/>
        <v/>
      </c>
      <c r="G40" s="42" t="str">
        <f t="shared" si="0"/>
        <v/>
      </c>
      <c r="H40" s="42" t="str">
        <f t="shared" si="11"/>
        <v/>
      </c>
      <c r="I40" s="4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2">
        <f t="shared" ca="1" si="3"/>
        <v>0</v>
      </c>
      <c r="M40" s="42" t="str">
        <f t="shared" ca="1" si="10"/>
        <v/>
      </c>
      <c r="N40" s="42">
        <f t="shared" ca="1" si="4"/>
        <v>0</v>
      </c>
      <c r="O40" s="53">
        <f t="shared" ca="1" si="5"/>
        <v>25</v>
      </c>
      <c r="P40" s="53">
        <f t="shared" ca="1" si="6"/>
        <v>25</v>
      </c>
      <c r="Q40" s="53">
        <f t="shared" ca="1" si="7"/>
        <v>25</v>
      </c>
    </row>
    <row r="41" spans="1:17" x14ac:dyDescent="0.2">
      <c r="A41" s="44">
        <v>14</v>
      </c>
      <c r="B41" s="2" t="str">
        <f t="shared" si="8"/>
        <v/>
      </c>
      <c r="C41" s="2"/>
      <c r="E41" s="44" t="str">
        <f>IF(B41="","",IF(D40="",E40,B41+SUM(D$28:D40)))</f>
        <v/>
      </c>
      <c r="F41" s="42" t="str">
        <f t="shared" si="13"/>
        <v/>
      </c>
      <c r="G41" s="42" t="str">
        <f t="shared" si="0"/>
        <v/>
      </c>
      <c r="H41" s="42" t="str">
        <f t="shared" si="11"/>
        <v/>
      </c>
      <c r="I41" s="4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2">
        <f t="shared" ca="1" si="3"/>
        <v>0</v>
      </c>
      <c r="M41" s="42" t="str">
        <f t="shared" ca="1" si="10"/>
        <v/>
      </c>
      <c r="N41" s="42">
        <f t="shared" ca="1" si="4"/>
        <v>0</v>
      </c>
      <c r="O41" s="53">
        <f t="shared" ca="1" si="5"/>
        <v>25</v>
      </c>
      <c r="P41" s="53">
        <f t="shared" ca="1" si="6"/>
        <v>25</v>
      </c>
      <c r="Q41" s="53">
        <f t="shared" ca="1" si="7"/>
        <v>25</v>
      </c>
    </row>
    <row r="42" spans="1:17" x14ac:dyDescent="0.2">
      <c r="A42" s="44">
        <v>15</v>
      </c>
      <c r="B42" s="2" t="str">
        <f t="shared" si="8"/>
        <v/>
      </c>
      <c r="C42" s="2"/>
      <c r="E42" s="44" t="str">
        <f>IF(B42="","",IF(D41="",E41,B42+SUM(D$28:D41)))</f>
        <v/>
      </c>
      <c r="F42" s="42" t="str">
        <f t="shared" si="13"/>
        <v/>
      </c>
      <c r="G42" s="42" t="str">
        <f t="shared" si="0"/>
        <v/>
      </c>
      <c r="H42" s="42" t="str">
        <f t="shared" si="11"/>
        <v/>
      </c>
      <c r="I42" s="4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2">
        <f t="shared" ca="1" si="3"/>
        <v>0</v>
      </c>
      <c r="M42" s="42" t="str">
        <f t="shared" ca="1" si="10"/>
        <v/>
      </c>
      <c r="N42" s="42">
        <f t="shared" ca="1" si="4"/>
        <v>0</v>
      </c>
      <c r="O42" s="53">
        <f t="shared" ca="1" si="5"/>
        <v>25</v>
      </c>
      <c r="P42" s="53">
        <f t="shared" ca="1" si="6"/>
        <v>25</v>
      </c>
      <c r="Q42" s="53">
        <f t="shared" ca="1" si="7"/>
        <v>25</v>
      </c>
    </row>
    <row r="43" spans="1:17" x14ac:dyDescent="0.2">
      <c r="A43" s="44">
        <v>16</v>
      </c>
      <c r="B43" s="2" t="str">
        <f t="shared" si="8"/>
        <v/>
      </c>
      <c r="C43" s="2"/>
      <c r="E43" s="44" t="str">
        <f>IF(B43="","",IF(D42="",E42,B43+SUM(D$28:D42)))</f>
        <v/>
      </c>
      <c r="F43" s="42" t="str">
        <f t="shared" si="13"/>
        <v/>
      </c>
      <c r="G43" s="42" t="str">
        <f t="shared" si="0"/>
        <v/>
      </c>
      <c r="H43" s="42" t="str">
        <f t="shared" si="11"/>
        <v/>
      </c>
      <c r="I43" s="4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2">
        <f t="shared" ca="1" si="3"/>
        <v>0</v>
      </c>
      <c r="M43" s="42" t="str">
        <f t="shared" ca="1" si="10"/>
        <v/>
      </c>
      <c r="N43" s="42">
        <f t="shared" ca="1" si="4"/>
        <v>0</v>
      </c>
      <c r="O43" s="53">
        <f t="shared" ca="1" si="5"/>
        <v>25</v>
      </c>
      <c r="P43" s="53">
        <f t="shared" ca="1" si="6"/>
        <v>25</v>
      </c>
      <c r="Q43" s="53">
        <f t="shared" ca="1" si="7"/>
        <v>25</v>
      </c>
    </row>
    <row r="44" spans="1:17" x14ac:dyDescent="0.2">
      <c r="A44" s="44">
        <v>17</v>
      </c>
      <c r="B44" s="2" t="str">
        <f t="shared" si="8"/>
        <v/>
      </c>
      <c r="C44" s="2"/>
      <c r="E44" s="44" t="str">
        <f>IF(B44="","",IF(D43="",E43,B44+SUM(D$28:D43)))</f>
        <v/>
      </c>
      <c r="F44" s="42" t="str">
        <f t="shared" si="13"/>
        <v/>
      </c>
      <c r="G44" s="42" t="str">
        <f t="shared" si="0"/>
        <v/>
      </c>
      <c r="H44" s="42" t="str">
        <f t="shared" si="11"/>
        <v/>
      </c>
      <c r="I44" s="4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2">
        <f t="shared" ca="1" si="3"/>
        <v>0</v>
      </c>
      <c r="M44" s="42" t="str">
        <f t="shared" ca="1" si="10"/>
        <v/>
      </c>
      <c r="N44" s="42">
        <f t="shared" ca="1" si="4"/>
        <v>0</v>
      </c>
      <c r="O44" s="53">
        <f t="shared" ca="1" si="5"/>
        <v>25</v>
      </c>
      <c r="P44" s="53">
        <f t="shared" ca="1" si="6"/>
        <v>25</v>
      </c>
      <c r="Q44" s="53">
        <f t="shared" ca="1" si="7"/>
        <v>25</v>
      </c>
    </row>
    <row r="45" spans="1:17" x14ac:dyDescent="0.2">
      <c r="A45" s="44">
        <v>18</v>
      </c>
      <c r="B45" s="2" t="str">
        <f t="shared" si="8"/>
        <v/>
      </c>
      <c r="C45" s="2"/>
      <c r="E45" s="44" t="str">
        <f>IF(B45="","",IF(D44="",E44,B45+SUM(D$28:D44)))</f>
        <v/>
      </c>
      <c r="F45" s="42" t="str">
        <f t="shared" si="13"/>
        <v/>
      </c>
      <c r="G45" s="42" t="str">
        <f t="shared" si="0"/>
        <v/>
      </c>
      <c r="H45" s="42" t="str">
        <f t="shared" si="11"/>
        <v/>
      </c>
      <c r="I45" s="4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2">
        <f t="shared" ca="1" si="3"/>
        <v>0</v>
      </c>
      <c r="M45" s="42" t="str">
        <f t="shared" ca="1" si="10"/>
        <v/>
      </c>
      <c r="N45" s="42">
        <f t="shared" ca="1" si="4"/>
        <v>0</v>
      </c>
      <c r="O45" s="53">
        <f t="shared" ca="1" si="5"/>
        <v>25</v>
      </c>
      <c r="P45" s="53">
        <f t="shared" ca="1" si="6"/>
        <v>25</v>
      </c>
      <c r="Q45" s="53">
        <f t="shared" ca="1" si="7"/>
        <v>25</v>
      </c>
    </row>
    <row r="46" spans="1:17" x14ac:dyDescent="0.2">
      <c r="A46" s="44">
        <v>19</v>
      </c>
      <c r="B46" s="2" t="str">
        <f t="shared" si="8"/>
        <v/>
      </c>
      <c r="C46" s="2"/>
      <c r="E46" s="44" t="str">
        <f>IF(B46="","",IF(D45="",E45,B46+SUM(D$28:D45)))</f>
        <v/>
      </c>
      <c r="F46" s="42" t="str">
        <f t="shared" si="13"/>
        <v/>
      </c>
      <c r="G46" s="42" t="str">
        <f t="shared" si="0"/>
        <v/>
      </c>
      <c r="H46" s="42" t="str">
        <f t="shared" si="11"/>
        <v/>
      </c>
      <c r="I46" s="4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2">
        <f t="shared" ca="1" si="3"/>
        <v>0</v>
      </c>
      <c r="M46" s="42" t="str">
        <f t="shared" ca="1" si="10"/>
        <v/>
      </c>
      <c r="N46" s="42">
        <f t="shared" ca="1" si="4"/>
        <v>0</v>
      </c>
      <c r="O46" s="53">
        <f t="shared" ca="1" si="5"/>
        <v>25</v>
      </c>
      <c r="P46" s="53">
        <f t="shared" ca="1" si="6"/>
        <v>25</v>
      </c>
      <c r="Q46" s="53">
        <f t="shared" ca="1" si="7"/>
        <v>25</v>
      </c>
    </row>
    <row r="47" spans="1:17" x14ac:dyDescent="0.2">
      <c r="A47" s="44">
        <v>20</v>
      </c>
      <c r="B47" s="2" t="str">
        <f t="shared" si="8"/>
        <v/>
      </c>
      <c r="C47" s="2"/>
      <c r="E47" s="44" t="str">
        <f>IF(B47="","",IF(D46="",E46,B47+SUM(D$28:D46)))</f>
        <v/>
      </c>
      <c r="F47" s="42" t="str">
        <f t="shared" si="13"/>
        <v/>
      </c>
      <c r="G47" s="42" t="str">
        <f t="shared" si="0"/>
        <v/>
      </c>
      <c r="H47" s="42" t="str">
        <f t="shared" si="11"/>
        <v/>
      </c>
      <c r="I47" s="4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2">
        <f t="shared" ca="1" si="3"/>
        <v>0</v>
      </c>
      <c r="M47" s="42" t="str">
        <f t="shared" ca="1" si="10"/>
        <v/>
      </c>
      <c r="N47" s="42">
        <f t="shared" ca="1" si="4"/>
        <v>0</v>
      </c>
      <c r="O47" s="53">
        <f t="shared" ca="1" si="5"/>
        <v>25</v>
      </c>
      <c r="P47" s="53">
        <f t="shared" ca="1" si="6"/>
        <v>25</v>
      </c>
      <c r="Q47" s="53">
        <f t="shared" ca="1" si="7"/>
        <v>25</v>
      </c>
    </row>
    <row r="48" spans="1:17" x14ac:dyDescent="0.2">
      <c r="A48" s="44">
        <v>21</v>
      </c>
      <c r="B48" s="2" t="str">
        <f t="shared" si="8"/>
        <v/>
      </c>
      <c r="C48" s="2"/>
      <c r="E48" s="44" t="str">
        <f>IF(B48="","",IF(D47="",E47,B48+SUM(D$28:D47)))</f>
        <v/>
      </c>
      <c r="F48" s="42" t="str">
        <f t="shared" si="13"/>
        <v/>
      </c>
      <c r="G48" s="42" t="str">
        <f t="shared" si="0"/>
        <v/>
      </c>
      <c r="H48" s="42" t="str">
        <f t="shared" si="11"/>
        <v/>
      </c>
      <c r="I48" s="4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2">
        <f t="shared" ca="1" si="3"/>
        <v>0</v>
      </c>
      <c r="M48" s="42" t="str">
        <f t="shared" ca="1" si="10"/>
        <v/>
      </c>
      <c r="N48" s="42">
        <f t="shared" ca="1" si="4"/>
        <v>0</v>
      </c>
      <c r="O48" s="53">
        <f t="shared" ca="1" si="5"/>
        <v>25</v>
      </c>
      <c r="P48" s="53">
        <f t="shared" ca="1" si="6"/>
        <v>25</v>
      </c>
      <c r="Q48" s="53">
        <f t="shared" ca="1" si="7"/>
        <v>25</v>
      </c>
    </row>
    <row r="49" spans="1:17" x14ac:dyDescent="0.2">
      <c r="A49" s="44">
        <v>22</v>
      </c>
      <c r="B49" s="2" t="str">
        <f t="shared" si="8"/>
        <v/>
      </c>
      <c r="C49" s="2"/>
      <c r="E49" s="44" t="str">
        <f>IF(B49="","",IF(D48="",E48,B49+SUM(D$28:D48)))</f>
        <v/>
      </c>
      <c r="F49" s="42" t="str">
        <f t="shared" si="13"/>
        <v/>
      </c>
      <c r="G49" s="42" t="str">
        <f t="shared" si="0"/>
        <v/>
      </c>
      <c r="H49" s="42" t="str">
        <f t="shared" si="11"/>
        <v/>
      </c>
      <c r="I49" s="4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2">
        <f t="shared" ca="1" si="3"/>
        <v>0</v>
      </c>
      <c r="M49" s="42" t="str">
        <f t="shared" ca="1" si="10"/>
        <v/>
      </c>
      <c r="N49" s="42">
        <f t="shared" ca="1" si="4"/>
        <v>0</v>
      </c>
      <c r="O49" s="53">
        <f t="shared" ca="1" si="5"/>
        <v>25</v>
      </c>
      <c r="P49" s="53">
        <f t="shared" ca="1" si="6"/>
        <v>25</v>
      </c>
      <c r="Q49" s="53">
        <f t="shared" ca="1" si="7"/>
        <v>25</v>
      </c>
    </row>
    <row r="50" spans="1:17" x14ac:dyDescent="0.2">
      <c r="A50" s="44">
        <v>23</v>
      </c>
      <c r="B50" s="2" t="str">
        <f t="shared" si="8"/>
        <v/>
      </c>
      <c r="C50" s="2"/>
      <c r="E50" s="44" t="str">
        <f>IF(B50="","",IF(D49="",E49,B50+SUM(D$28:D49)))</f>
        <v/>
      </c>
      <c r="F50" s="42" t="str">
        <f t="shared" si="13"/>
        <v/>
      </c>
      <c r="G50" s="42" t="str">
        <f t="shared" si="0"/>
        <v/>
      </c>
      <c r="H50" s="42" t="str">
        <f t="shared" si="11"/>
        <v/>
      </c>
      <c r="I50" s="4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2">
        <f t="shared" ca="1" si="3"/>
        <v>0</v>
      </c>
      <c r="M50" s="42" t="str">
        <f t="shared" ca="1" si="10"/>
        <v/>
      </c>
      <c r="N50" s="42">
        <f t="shared" ca="1" si="4"/>
        <v>0</v>
      </c>
      <c r="O50" s="53">
        <f t="shared" ca="1" si="5"/>
        <v>25</v>
      </c>
      <c r="P50" s="53">
        <f t="shared" ca="1" si="6"/>
        <v>25</v>
      </c>
      <c r="Q50" s="53">
        <f t="shared" ca="1" si="7"/>
        <v>25</v>
      </c>
    </row>
    <row r="51" spans="1:17" x14ac:dyDescent="0.2">
      <c r="A51" s="44">
        <v>24</v>
      </c>
      <c r="B51" s="2" t="str">
        <f t="shared" si="8"/>
        <v/>
      </c>
      <c r="C51" s="2"/>
      <c r="E51" s="44" t="str">
        <f>IF(B51="","",IF(D50="",E50,B51+SUM(D$28:D50)))</f>
        <v/>
      </c>
      <c r="F51" s="42" t="str">
        <f t="shared" si="13"/>
        <v/>
      </c>
      <c r="G51" s="42" t="str">
        <f t="shared" si="0"/>
        <v/>
      </c>
      <c r="H51" s="42" t="str">
        <f t="shared" si="11"/>
        <v/>
      </c>
      <c r="I51" s="4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2">
        <f t="shared" ca="1" si="3"/>
        <v>0</v>
      </c>
      <c r="M51" s="42" t="str">
        <f t="shared" ca="1" si="10"/>
        <v/>
      </c>
      <c r="N51" s="42">
        <f t="shared" ca="1" si="4"/>
        <v>0</v>
      </c>
      <c r="O51" s="53">
        <f t="shared" ca="1" si="5"/>
        <v>25</v>
      </c>
      <c r="P51" s="53">
        <f t="shared" ca="1" si="6"/>
        <v>25</v>
      </c>
      <c r="Q51" s="53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2" priority="1" stopIfTrue="1">
      <formula>$D26="Done"</formula>
    </cfRule>
    <cfRule type="expression" dxfId="1" priority="2" stopIfTrue="1">
      <formula>$D26="Ongoing"</formula>
    </cfRule>
    <cfRule type="expression" dxfId="0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25</vt:i4>
      </vt:variant>
    </vt:vector>
  </HeadingPairs>
  <TitlesOfParts>
    <vt:vector size="31" baseType="lpstr">
      <vt:lpstr>Team</vt:lpstr>
      <vt:lpstr>Release Plan</vt:lpstr>
      <vt:lpstr>Backlog</vt:lpstr>
      <vt:lpstr>Sp1</vt:lpstr>
      <vt:lpstr>Sp2</vt:lpstr>
      <vt:lpstr>Backlog Burndown</vt:lpstr>
      <vt:lpstr>'Sp1'!DoneDays</vt:lpstr>
      <vt:lpstr>'Sp2'!DoneDays</vt:lpstr>
      <vt:lpstr>Backlog!Druckbereich</vt:lpstr>
      <vt:lpstr>'Sp1'!ImplementationDays</vt:lpstr>
      <vt:lpstr>'Sp2'!ImplementationDays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Status</vt:lpstr>
      <vt:lpstr>StoryName</vt:lpstr>
      <vt:lpstr>'Sp1'!TaskRows</vt:lpstr>
      <vt:lpstr>'Sp2'!TaskRows</vt:lpstr>
      <vt:lpstr>'Sp1'!TaskStatus</vt:lpstr>
      <vt:lpstr>'Sp2'!TaskStatus</vt:lpstr>
      <vt:lpstr>'Sp1'!TaskStoryID</vt:lpstr>
      <vt:lpstr>'Sp2'!TaskStoryID</vt:lpstr>
      <vt:lpstr>'Sp1'!TotalEffort</vt:lpstr>
      <vt:lpstr>'Sp2'!TotalEffort</vt:lpstr>
      <vt:lpstr>'Sp1'!TrendDays</vt:lpstr>
      <vt:lpstr>'Sp2'!TrendDays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dc:description>Template versio 1.0 Approval</dc:description>
  <cp:lastModifiedBy>Ben</cp:lastModifiedBy>
  <cp:revision>1</cp:revision>
  <cp:lastPrinted>2006-09-01T14:59:00Z</cp:lastPrinted>
  <dcterms:created xsi:type="dcterms:W3CDTF">1998-06-05T11:20:44Z</dcterms:created>
  <dcterms:modified xsi:type="dcterms:W3CDTF">2016-04-21T18:52:57Z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