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 hidePivotFieldList="1"/>
  <xr:revisionPtr revIDLastSave="0" documentId="13_ncr:1_{9E07C1BA-C79A-41DA-BFDE-42E4AC4B464D}" xr6:coauthVersionLast="45" xr6:coauthVersionMax="45" xr10:uidLastSave="{00000000-0000-0000-0000-000000000000}"/>
  <bookViews>
    <workbookView xWindow="-108" yWindow="-108" windowWidth="23256" windowHeight="12576" firstSheet="15" activeTab="21" xr2:uid="{00000000-000D-0000-FFFF-FFFF00000000}"/>
  </bookViews>
  <sheets>
    <sheet name="Hoja4" sheetId="4" r:id="rId1"/>
    <sheet name="Hoja1" sheetId="5" r:id="rId2"/>
    <sheet name="Hoja2" sheetId="6" r:id="rId3"/>
    <sheet name="FUMETAS" sheetId="7" r:id="rId4"/>
    <sheet name="DESAFIO" sheetId="8" r:id="rId5"/>
    <sheet name="EVALUACION" sheetId="9" r:id="rId6"/>
    <sheet name="TRAYECTORIA" sheetId="10" r:id="rId7"/>
    <sheet name="NOTAS DE CHAVALES" sheetId="11" r:id="rId8"/>
    <sheet name="QUINIELA" sheetId="12" r:id="rId9"/>
    <sheet name="ESTUDIANTES" sheetId="13" r:id="rId10"/>
    <sheet name="INSTITUTO" sheetId="34" r:id="rId11"/>
    <sheet name="HERMANAS" sheetId="35" r:id="rId12"/>
    <sheet name="GRAN SLAM" sheetId="39" r:id="rId13"/>
    <sheet name="MALEANTES" sheetId="40" r:id="rId14"/>
    <sheet name="KARNAUGH" sheetId="41" r:id="rId15"/>
    <sheet name="KARNAUGH-4" sheetId="42" r:id="rId16"/>
    <sheet name="CARNAVAL" sheetId="43" r:id="rId17"/>
    <sheet name="FACTURA" sheetId="44" r:id="rId18"/>
    <sheet name="ALMACEN" sheetId="45" r:id="rId19"/>
    <sheet name="TIENDA" sheetId="46" r:id="rId20"/>
    <sheet name="TRASTIENDA" sheetId="47" r:id="rId21"/>
    <sheet name="OH MADRID!" sheetId="48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2" i="48" l="1"/>
  <c r="O2" i="48"/>
  <c r="K2" i="48"/>
  <c r="F2" i="48"/>
  <c r="O17" i="48" l="1"/>
  <c r="O18" i="48"/>
  <c r="F3" i="48"/>
  <c r="F4" i="48"/>
  <c r="F10" i="48"/>
  <c r="F11" i="48"/>
  <c r="F12" i="48"/>
  <c r="F13" i="48"/>
  <c r="F14" i="48"/>
  <c r="F15" i="48"/>
  <c r="F16" i="48"/>
  <c r="F17" i="48"/>
  <c r="F18" i="48"/>
  <c r="Q3" i="48"/>
  <c r="Q4" i="48"/>
  <c r="Q10" i="48"/>
  <c r="Q11" i="48"/>
  <c r="Q12" i="48"/>
  <c r="Q13" i="48"/>
  <c r="Q14" i="48"/>
  <c r="Q15" i="48"/>
  <c r="C20" i="48"/>
  <c r="F21" i="48" l="1"/>
  <c r="Q2" i="48"/>
  <c r="Q16" i="48"/>
  <c r="Q17" i="48"/>
  <c r="Q18" i="48"/>
  <c r="O20" i="48"/>
  <c r="O24" i="48" l="1"/>
  <c r="K3" i="48" l="1"/>
  <c r="O3" i="48" s="1"/>
  <c r="K4" i="48"/>
  <c r="O4" i="48" s="1"/>
  <c r="K10" i="48"/>
  <c r="O10" i="48" s="1"/>
  <c r="K11" i="48"/>
  <c r="O11" i="48" s="1"/>
  <c r="K12" i="48"/>
  <c r="O12" i="48" s="1"/>
  <c r="K13" i="48"/>
  <c r="O13" i="48" s="1"/>
  <c r="K14" i="48"/>
  <c r="O14" i="48" s="1"/>
  <c r="K15" i="48"/>
  <c r="O15" i="48" s="1"/>
  <c r="K16" i="48"/>
  <c r="O16" i="48" s="1"/>
  <c r="K17" i="48"/>
  <c r="K18" i="48"/>
  <c r="D18" i="46" l="1"/>
  <c r="D12" i="46"/>
  <c r="D10" i="46"/>
  <c r="D8" i="46"/>
  <c r="D6" i="46"/>
  <c r="D4" i="46"/>
  <c r="D3" i="44"/>
  <c r="D4" i="44"/>
  <c r="D5" i="44"/>
  <c r="D12" i="44" s="1"/>
  <c r="D6" i="44"/>
  <c r="D7" i="44"/>
  <c r="D8" i="44"/>
  <c r="D9" i="44"/>
  <c r="D10" i="44"/>
  <c r="D2" i="44"/>
  <c r="D14" i="44" l="1"/>
  <c r="D15" i="44" s="1"/>
  <c r="D13" i="44"/>
  <c r="O26" i="48"/>
  <c r="H134" i="42"/>
  <c r="H135" i="42"/>
  <c r="H136" i="42"/>
  <c r="H137" i="42"/>
  <c r="H138" i="42"/>
  <c r="H139" i="42"/>
  <c r="H140" i="42"/>
  <c r="H141" i="42"/>
  <c r="H142" i="42"/>
  <c r="H143" i="42"/>
  <c r="H144" i="42"/>
  <c r="H145" i="42"/>
  <c r="H146" i="42"/>
  <c r="H147" i="42"/>
  <c r="H148" i="42"/>
  <c r="H149" i="42"/>
  <c r="H116" i="42"/>
  <c r="H117" i="42"/>
  <c r="H118" i="42"/>
  <c r="H119" i="42"/>
  <c r="H120" i="42"/>
  <c r="H121" i="42"/>
  <c r="H122" i="42"/>
  <c r="H123" i="42"/>
  <c r="H124" i="42"/>
  <c r="H125" i="42"/>
  <c r="H126" i="42"/>
  <c r="H127" i="42"/>
  <c r="H128" i="42"/>
  <c r="H129" i="42"/>
  <c r="H130" i="42"/>
  <c r="H115" i="42"/>
  <c r="O28" i="48" l="1"/>
  <c r="H98" i="42"/>
  <c r="H99" i="42"/>
  <c r="H100" i="42"/>
  <c r="H101" i="42"/>
  <c r="H102" i="42"/>
  <c r="H103" i="42"/>
  <c r="H104" i="42"/>
  <c r="H105" i="42"/>
  <c r="H106" i="42"/>
  <c r="H107" i="42"/>
  <c r="H108" i="42"/>
  <c r="H109" i="42"/>
  <c r="H110" i="42"/>
  <c r="H111" i="42"/>
  <c r="H112" i="42"/>
  <c r="H97" i="42"/>
  <c r="T3" i="41"/>
  <c r="T4" i="41"/>
  <c r="T5" i="41"/>
  <c r="T6" i="41"/>
  <c r="T7" i="41"/>
  <c r="T8" i="41"/>
  <c r="T9" i="41"/>
  <c r="T2" i="41"/>
  <c r="M3" i="43" l="1"/>
  <c r="M4" i="43"/>
  <c r="M5" i="43"/>
  <c r="M6" i="43"/>
  <c r="M7" i="43"/>
  <c r="M8" i="43"/>
  <c r="M9" i="43"/>
  <c r="M2" i="43"/>
  <c r="K9" i="43"/>
  <c r="L9" i="43"/>
  <c r="L3" i="43"/>
  <c r="L4" i="43"/>
  <c r="L5" i="43"/>
  <c r="L6" i="43"/>
  <c r="L7" i="43"/>
  <c r="L8" i="43"/>
  <c r="L2" i="43"/>
  <c r="D10" i="43"/>
  <c r="E10" i="43"/>
  <c r="F10" i="43"/>
  <c r="C10" i="43"/>
  <c r="K3" i="43"/>
  <c r="K4" i="43"/>
  <c r="K5" i="43"/>
  <c r="K6" i="43"/>
  <c r="K7" i="43"/>
  <c r="K8" i="43"/>
  <c r="K2" i="43"/>
  <c r="J8" i="43"/>
  <c r="I3" i="43"/>
  <c r="J3" i="43" s="1"/>
  <c r="I4" i="43"/>
  <c r="J4" i="43" s="1"/>
  <c r="I5" i="43"/>
  <c r="J5" i="43" s="1"/>
  <c r="I6" i="43"/>
  <c r="J6" i="43" s="1"/>
  <c r="I7" i="43"/>
  <c r="J7" i="43" s="1"/>
  <c r="I2" i="43"/>
  <c r="J2" i="43" s="1"/>
  <c r="H79" i="42"/>
  <c r="H80" i="42"/>
  <c r="H81" i="42"/>
  <c r="H82" i="42"/>
  <c r="H83" i="42"/>
  <c r="H84" i="42"/>
  <c r="H85" i="42"/>
  <c r="H86" i="42"/>
  <c r="H87" i="42"/>
  <c r="H88" i="42"/>
  <c r="H89" i="42"/>
  <c r="H90" i="42"/>
  <c r="H91" i="42"/>
  <c r="H92" i="42"/>
  <c r="H93" i="42"/>
  <c r="H78" i="42"/>
  <c r="H65" i="42" l="1"/>
  <c r="H60" i="42"/>
  <c r="H61" i="42"/>
  <c r="H62" i="42"/>
  <c r="H63" i="42"/>
  <c r="H64" i="42"/>
  <c r="H66" i="42"/>
  <c r="H67" i="42"/>
  <c r="H68" i="42"/>
  <c r="H69" i="42"/>
  <c r="H70" i="42"/>
  <c r="H71" i="42"/>
  <c r="H72" i="42"/>
  <c r="H73" i="42"/>
  <c r="H74" i="42"/>
  <c r="H59" i="42"/>
  <c r="H41" i="42" l="1"/>
  <c r="H42" i="42"/>
  <c r="H43" i="42"/>
  <c r="H44" i="42"/>
  <c r="H45" i="42"/>
  <c r="H46" i="42"/>
  <c r="H47" i="42"/>
  <c r="H48" i="42"/>
  <c r="H49" i="42"/>
  <c r="H50" i="42"/>
  <c r="H51" i="42"/>
  <c r="H52" i="42"/>
  <c r="H53" i="42"/>
  <c r="H54" i="42"/>
  <c r="H55" i="42"/>
  <c r="H40" i="42"/>
  <c r="R22" i="42"/>
  <c r="R23" i="42"/>
  <c r="R24" i="42"/>
  <c r="R25" i="42"/>
  <c r="R26" i="42"/>
  <c r="R27" i="42"/>
  <c r="R28" i="42"/>
  <c r="R29" i="42"/>
  <c r="R30" i="42"/>
  <c r="R31" i="42"/>
  <c r="R32" i="42"/>
  <c r="R33" i="42"/>
  <c r="R34" i="42"/>
  <c r="R35" i="42"/>
  <c r="R36" i="42"/>
  <c r="R21" i="42"/>
  <c r="P22" i="42"/>
  <c r="P23" i="42"/>
  <c r="P24" i="42"/>
  <c r="P25" i="42"/>
  <c r="P26" i="42"/>
  <c r="P27" i="42"/>
  <c r="P28" i="42"/>
  <c r="P29" i="42"/>
  <c r="P30" i="42"/>
  <c r="P31" i="42"/>
  <c r="P32" i="42"/>
  <c r="P33" i="42"/>
  <c r="P34" i="42"/>
  <c r="P35" i="42"/>
  <c r="P36" i="42"/>
  <c r="P21" i="42"/>
  <c r="H22" i="42" l="1"/>
  <c r="H23" i="42"/>
  <c r="H24" i="42"/>
  <c r="H25" i="42"/>
  <c r="H26" i="42"/>
  <c r="H27" i="42"/>
  <c r="H28" i="42"/>
  <c r="H29" i="42"/>
  <c r="H30" i="42"/>
  <c r="H31" i="42"/>
  <c r="H32" i="42"/>
  <c r="H33" i="42"/>
  <c r="H34" i="42"/>
  <c r="H35" i="42"/>
  <c r="H36" i="42"/>
  <c r="H21" i="42"/>
  <c r="P3" i="42"/>
  <c r="P4" i="42"/>
  <c r="P5" i="42"/>
  <c r="P6" i="42"/>
  <c r="P7" i="42"/>
  <c r="P8" i="42"/>
  <c r="P9" i="42"/>
  <c r="P10" i="42"/>
  <c r="P11" i="42"/>
  <c r="P12" i="42"/>
  <c r="P13" i="42"/>
  <c r="P14" i="42"/>
  <c r="P15" i="42"/>
  <c r="P16" i="42"/>
  <c r="P17" i="42"/>
  <c r="P2" i="42"/>
  <c r="H3" i="42"/>
  <c r="H4" i="42"/>
  <c r="H5" i="42"/>
  <c r="H6" i="42"/>
  <c r="H7" i="42"/>
  <c r="H8" i="42"/>
  <c r="H9" i="42"/>
  <c r="H10" i="42"/>
  <c r="H11" i="42"/>
  <c r="H12" i="42"/>
  <c r="H13" i="42"/>
  <c r="H14" i="42"/>
  <c r="H15" i="42"/>
  <c r="H16" i="42"/>
  <c r="H17" i="42"/>
  <c r="H2" i="42"/>
  <c r="M14" i="41" l="1"/>
  <c r="M15" i="41"/>
  <c r="M16" i="41"/>
  <c r="M17" i="41"/>
  <c r="M18" i="41"/>
  <c r="M19" i="41"/>
  <c r="M20" i="41"/>
  <c r="M13" i="41"/>
  <c r="M3" i="41"/>
  <c r="M4" i="41"/>
  <c r="M5" i="41"/>
  <c r="M6" i="41"/>
  <c r="M7" i="41"/>
  <c r="M8" i="41"/>
  <c r="M9" i="41"/>
  <c r="M2" i="41"/>
  <c r="F14" i="41"/>
  <c r="F15" i="41"/>
  <c r="F16" i="41"/>
  <c r="F17" i="41"/>
  <c r="F18" i="41"/>
  <c r="F19" i="41"/>
  <c r="F20" i="41"/>
  <c r="F13" i="41"/>
  <c r="F3" i="41"/>
  <c r="F4" i="41"/>
  <c r="F5" i="41"/>
  <c r="F6" i="41"/>
  <c r="F7" i="41"/>
  <c r="F8" i="41"/>
  <c r="F9" i="41"/>
  <c r="F2" i="41"/>
  <c r="M3" i="40" l="1"/>
  <c r="M4" i="40"/>
  <c r="M5" i="40"/>
  <c r="M6" i="40"/>
  <c r="M7" i="40"/>
  <c r="M8" i="40"/>
  <c r="M9" i="40"/>
  <c r="M10" i="40"/>
  <c r="M11" i="40"/>
  <c r="M12" i="40"/>
  <c r="M13" i="40"/>
  <c r="M14" i="40"/>
  <c r="M15" i="40"/>
  <c r="M16" i="40"/>
  <c r="M2" i="40"/>
  <c r="L2" i="40" l="1"/>
  <c r="L3" i="40"/>
  <c r="L4" i="40"/>
  <c r="L5" i="40"/>
  <c r="L6" i="40"/>
  <c r="L7" i="40"/>
  <c r="L8" i="40"/>
  <c r="L9" i="40"/>
  <c r="L10" i="40"/>
  <c r="L11" i="40"/>
  <c r="L12" i="40"/>
  <c r="L13" i="40"/>
  <c r="L14" i="40"/>
  <c r="L15" i="40"/>
  <c r="L16" i="40"/>
  <c r="I3" i="40"/>
  <c r="K3" i="40"/>
  <c r="K4" i="40"/>
  <c r="K5" i="40"/>
  <c r="K6" i="40"/>
  <c r="K7" i="40"/>
  <c r="K8" i="40"/>
  <c r="K9" i="40"/>
  <c r="K10" i="40"/>
  <c r="K11" i="40"/>
  <c r="K12" i="40"/>
  <c r="K13" i="40"/>
  <c r="K14" i="40"/>
  <c r="K15" i="40"/>
  <c r="K16" i="40"/>
  <c r="K2" i="40"/>
  <c r="J3" i="40"/>
  <c r="J4" i="40"/>
  <c r="J5" i="40"/>
  <c r="J6" i="40"/>
  <c r="J7" i="40"/>
  <c r="J8" i="40"/>
  <c r="J9" i="40"/>
  <c r="J10" i="40"/>
  <c r="J11" i="40"/>
  <c r="J12" i="40"/>
  <c r="J13" i="40"/>
  <c r="J14" i="40"/>
  <c r="J15" i="40"/>
  <c r="J16" i="40"/>
  <c r="J2" i="40"/>
  <c r="I2" i="40"/>
  <c r="I4" i="40"/>
  <c r="I5" i="40"/>
  <c r="I6" i="40"/>
  <c r="I7" i="40"/>
  <c r="I8" i="40"/>
  <c r="I9" i="40"/>
  <c r="I10" i="40"/>
  <c r="I11" i="40"/>
  <c r="I12" i="40"/>
  <c r="I13" i="40"/>
  <c r="I14" i="40"/>
  <c r="I15" i="40"/>
  <c r="I16" i="40"/>
  <c r="H2" i="40" l="1"/>
  <c r="H3" i="40"/>
  <c r="H4" i="40"/>
  <c r="H5" i="40"/>
  <c r="H6" i="40"/>
  <c r="H7" i="40"/>
  <c r="H8" i="40"/>
  <c r="H9" i="40"/>
  <c r="H10" i="40"/>
  <c r="H11" i="40"/>
  <c r="H12" i="40"/>
  <c r="H13" i="40"/>
  <c r="H14" i="40"/>
  <c r="H15" i="40"/>
  <c r="H16" i="40"/>
  <c r="L7" i="39" l="1"/>
  <c r="M7" i="39" s="1"/>
  <c r="L8" i="39"/>
  <c r="M8" i="39" s="1"/>
  <c r="L9" i="39"/>
  <c r="M9" i="39" s="1"/>
  <c r="L10" i="39"/>
  <c r="M10" i="39" s="1"/>
  <c r="L11" i="39"/>
  <c r="M11" i="39" s="1"/>
  <c r="L12" i="39"/>
  <c r="M12" i="39" s="1"/>
  <c r="L13" i="39"/>
  <c r="M13" i="39" s="1"/>
  <c r="L14" i="39"/>
  <c r="M14" i="39" s="1"/>
  <c r="L15" i="39"/>
  <c r="M15" i="39" s="1"/>
  <c r="L16" i="39"/>
  <c r="M16" i="39" s="1"/>
  <c r="L17" i="39"/>
  <c r="M17" i="39" s="1"/>
  <c r="L6" i="39"/>
  <c r="M6" i="39" s="1"/>
  <c r="K7" i="39"/>
  <c r="K8" i="39"/>
  <c r="K9" i="39"/>
  <c r="K10" i="39"/>
  <c r="K11" i="39"/>
  <c r="K12" i="39"/>
  <c r="K13" i="39"/>
  <c r="K14" i="39"/>
  <c r="K15" i="39"/>
  <c r="K16" i="39"/>
  <c r="K17" i="39"/>
  <c r="K6" i="39"/>
  <c r="G7" i="39"/>
  <c r="G8" i="39"/>
  <c r="G9" i="39"/>
  <c r="G10" i="39"/>
  <c r="G11" i="39"/>
  <c r="G12" i="39"/>
  <c r="G13" i="39"/>
  <c r="G14" i="39"/>
  <c r="G15" i="39"/>
  <c r="G16" i="39"/>
  <c r="G17" i="39"/>
  <c r="H7" i="39"/>
  <c r="H8" i="39"/>
  <c r="H9" i="39"/>
  <c r="H10" i="39"/>
  <c r="H11" i="39"/>
  <c r="H12" i="39"/>
  <c r="H13" i="39"/>
  <c r="H14" i="39"/>
  <c r="H15" i="39"/>
  <c r="H16" i="39"/>
  <c r="H17" i="39"/>
  <c r="G6" i="39"/>
  <c r="H6" i="39"/>
  <c r="I6" i="39" s="1"/>
  <c r="M19" i="39" l="1"/>
  <c r="N7" i="39" s="1"/>
  <c r="N6" i="39"/>
  <c r="N17" i="39"/>
  <c r="N8" i="39"/>
  <c r="N15" i="39"/>
  <c r="N11" i="39"/>
  <c r="E13" i="35"/>
  <c r="N12" i="39" l="1"/>
  <c r="N16" i="39"/>
  <c r="N9" i="39"/>
  <c r="N14" i="39"/>
  <c r="N10" i="39"/>
  <c r="N13" i="39"/>
  <c r="G13" i="34"/>
  <c r="G12" i="34"/>
  <c r="D3" i="34"/>
  <c r="E3" i="34"/>
  <c r="D4" i="34"/>
  <c r="E4" i="34"/>
  <c r="D5" i="34"/>
  <c r="E5" i="34"/>
  <c r="D6" i="34"/>
  <c r="E6" i="34"/>
  <c r="D7" i="34"/>
  <c r="E7" i="34"/>
  <c r="D8" i="34"/>
  <c r="E8" i="34"/>
  <c r="D9" i="34"/>
  <c r="E9" i="34"/>
  <c r="D10" i="34"/>
  <c r="E10" i="34"/>
  <c r="D11" i="34"/>
  <c r="E11" i="34"/>
  <c r="E2" i="34"/>
  <c r="C11" i="34"/>
  <c r="C10" i="34"/>
  <c r="C9" i="34"/>
  <c r="C8" i="34"/>
  <c r="C7" i="34"/>
  <c r="C6" i="34"/>
  <c r="C5" i="34"/>
  <c r="C4" i="34"/>
  <c r="C3" i="34"/>
  <c r="C2" i="34"/>
  <c r="C3" i="13"/>
  <c r="D3" i="13"/>
  <c r="C4" i="13"/>
  <c r="D4" i="13"/>
  <c r="C5" i="13"/>
  <c r="D5" i="13"/>
  <c r="C6" i="13"/>
  <c r="D6" i="13"/>
  <c r="C7" i="13"/>
  <c r="D7" i="13"/>
  <c r="C8" i="13"/>
  <c r="D8" i="13"/>
  <c r="C9" i="13"/>
  <c r="D9" i="13"/>
  <c r="C10" i="13"/>
  <c r="D10" i="13"/>
  <c r="C11" i="13"/>
  <c r="D11" i="13"/>
  <c r="D2" i="13"/>
  <c r="C2" i="13"/>
  <c r="J2" i="12"/>
  <c r="J3" i="12"/>
  <c r="J4" i="12"/>
  <c r="J5" i="12"/>
  <c r="J6" i="12"/>
  <c r="J7" i="12"/>
  <c r="J8" i="12"/>
  <c r="J9" i="12"/>
  <c r="G4" i="34" l="1"/>
  <c r="G5" i="34"/>
  <c r="G9" i="34"/>
  <c r="G2" i="34"/>
  <c r="G6" i="34"/>
  <c r="G10" i="34"/>
  <c r="G8" i="34"/>
  <c r="G3" i="34"/>
  <c r="G7" i="34"/>
  <c r="G11" i="34"/>
  <c r="F11" i="13"/>
  <c r="F7" i="13"/>
  <c r="F3" i="13"/>
  <c r="F10" i="13"/>
  <c r="F8" i="13"/>
  <c r="F6" i="13"/>
  <c r="F4" i="13"/>
  <c r="F9" i="13"/>
  <c r="F5" i="13"/>
  <c r="F2" i="13"/>
  <c r="H4" i="10"/>
  <c r="J2" i="11"/>
  <c r="L2" i="11"/>
  <c r="H16" i="11"/>
  <c r="C13" i="11"/>
  <c r="D13" i="11"/>
  <c r="E13" i="11"/>
  <c r="F13" i="11"/>
  <c r="B13" i="11"/>
  <c r="H2" i="11"/>
  <c r="L3" i="11"/>
  <c r="L4" i="11"/>
  <c r="L5" i="11"/>
  <c r="L6" i="11"/>
  <c r="L7" i="11"/>
  <c r="L8" i="11"/>
  <c r="L9" i="11"/>
  <c r="L10" i="11"/>
  <c r="L11" i="11"/>
  <c r="J6" i="11"/>
  <c r="J7" i="11"/>
  <c r="J8" i="11"/>
  <c r="J9" i="11"/>
  <c r="J10" i="11"/>
  <c r="J11" i="11"/>
  <c r="H3" i="11"/>
  <c r="J3" i="11" s="1"/>
  <c r="H4" i="11"/>
  <c r="J4" i="11" s="1"/>
  <c r="H5" i="11"/>
  <c r="J5" i="11" s="1"/>
  <c r="H6" i="11"/>
  <c r="H7" i="11"/>
  <c r="H8" i="11"/>
  <c r="H10" i="11"/>
  <c r="H3" i="10"/>
  <c r="H5" i="10"/>
  <c r="H6" i="10"/>
  <c r="H7" i="10"/>
  <c r="H8" i="10"/>
  <c r="H9" i="10"/>
  <c r="H10" i="10"/>
  <c r="K14" i="10" l="1"/>
  <c r="L14" i="10"/>
  <c r="M14" i="10"/>
  <c r="N14" i="10"/>
  <c r="O14" i="10"/>
  <c r="K15" i="10"/>
  <c r="L15" i="10"/>
  <c r="M15" i="10"/>
  <c r="N15" i="10"/>
  <c r="O15" i="10"/>
  <c r="K16" i="10"/>
  <c r="L16" i="10"/>
  <c r="M16" i="10"/>
  <c r="N16" i="10"/>
  <c r="O16" i="10"/>
  <c r="K17" i="10"/>
  <c r="L17" i="10"/>
  <c r="M17" i="10"/>
  <c r="N17" i="10"/>
  <c r="O17" i="10"/>
  <c r="K18" i="10"/>
  <c r="L18" i="10"/>
  <c r="M18" i="10"/>
  <c r="N18" i="10"/>
  <c r="O18" i="10"/>
  <c r="K19" i="10"/>
  <c r="L19" i="10"/>
  <c r="M19" i="10"/>
  <c r="N19" i="10"/>
  <c r="O19" i="10"/>
  <c r="K20" i="10"/>
  <c r="L20" i="10"/>
  <c r="M20" i="10"/>
  <c r="N20" i="10"/>
  <c r="O20" i="10"/>
  <c r="K21" i="10"/>
  <c r="L21" i="10"/>
  <c r="M21" i="10"/>
  <c r="N21" i="10"/>
  <c r="O21" i="10"/>
  <c r="K22" i="10"/>
  <c r="L22" i="10"/>
  <c r="M22" i="10"/>
  <c r="N22" i="10"/>
  <c r="O22" i="10"/>
  <c r="L13" i="10"/>
  <c r="M13" i="10"/>
  <c r="N13" i="10"/>
  <c r="O13" i="10"/>
  <c r="K13" i="10"/>
  <c r="Q4" i="9" l="1"/>
  <c r="Q5" i="9"/>
  <c r="Q6" i="9"/>
  <c r="Q7" i="9"/>
  <c r="Q8" i="9"/>
  <c r="Q9" i="9"/>
  <c r="Q10" i="9"/>
  <c r="Q11" i="9"/>
  <c r="Q12" i="9"/>
  <c r="Q3" i="9"/>
  <c r="D14" i="9"/>
  <c r="E14" i="9"/>
  <c r="F14" i="9"/>
  <c r="G14" i="9"/>
  <c r="M4" i="9"/>
  <c r="M5" i="9"/>
  <c r="M6" i="9"/>
  <c r="M7" i="9"/>
  <c r="M8" i="9"/>
  <c r="M9" i="9"/>
  <c r="M10" i="9"/>
  <c r="M11" i="9"/>
  <c r="M12" i="9"/>
  <c r="M3" i="9"/>
  <c r="M14" i="9" s="1"/>
  <c r="C14" i="9"/>
  <c r="I4" i="9"/>
  <c r="O4" i="9" s="1"/>
  <c r="I5" i="9"/>
  <c r="O5" i="9" s="1"/>
  <c r="I6" i="9"/>
  <c r="O6" i="9" s="1"/>
  <c r="I7" i="9"/>
  <c r="O7" i="9" s="1"/>
  <c r="I8" i="9"/>
  <c r="O8" i="9" s="1"/>
  <c r="I9" i="9"/>
  <c r="O9" i="9" s="1"/>
  <c r="I10" i="9"/>
  <c r="O10" i="9" s="1"/>
  <c r="I11" i="9"/>
  <c r="O11" i="9" s="1"/>
  <c r="I12" i="9"/>
  <c r="O12" i="9" s="1"/>
  <c r="I3" i="9"/>
  <c r="I14" i="9" s="1"/>
  <c r="K4" i="9"/>
  <c r="K5" i="9"/>
  <c r="K6" i="9"/>
  <c r="K7" i="9"/>
  <c r="K8" i="9"/>
  <c r="K9" i="9"/>
  <c r="K10" i="9"/>
  <c r="K11" i="9"/>
  <c r="K12" i="9"/>
  <c r="K3" i="9"/>
  <c r="K14" i="9" s="1"/>
  <c r="O3" i="9" l="1"/>
  <c r="O3" i="8"/>
  <c r="O4" i="8"/>
  <c r="O5" i="8"/>
  <c r="O6" i="8"/>
  <c r="O7" i="8"/>
  <c r="O8" i="8"/>
  <c r="O9" i="8"/>
  <c r="O10" i="8"/>
  <c r="O11" i="8"/>
  <c r="O12" i="8"/>
  <c r="O13" i="8"/>
  <c r="O14" i="8"/>
  <c r="O2" i="8"/>
  <c r="C18" i="8"/>
  <c r="D18" i="8"/>
  <c r="E18" i="8"/>
  <c r="F18" i="8"/>
  <c r="G18" i="8"/>
  <c r="H18" i="8"/>
  <c r="I18" i="8"/>
  <c r="J18" i="8"/>
  <c r="K18" i="8"/>
  <c r="L18" i="8"/>
  <c r="M18" i="8"/>
  <c r="B18" i="8"/>
  <c r="F14" i="7"/>
  <c r="G14" i="7"/>
  <c r="H14" i="7"/>
  <c r="I14" i="7"/>
  <c r="J14" i="7"/>
  <c r="K14" i="7"/>
  <c r="E14" i="7"/>
  <c r="Z5" i="7"/>
  <c r="Z6" i="7"/>
  <c r="Z7" i="7"/>
  <c r="Z8" i="7"/>
  <c r="Z9" i="7"/>
  <c r="Z10" i="7"/>
  <c r="Z11" i="7"/>
  <c r="Z12" i="7"/>
  <c r="Z4" i="7"/>
  <c r="X5" i="7"/>
  <c r="X6" i="7"/>
  <c r="X7" i="7"/>
  <c r="X8" i="7"/>
  <c r="X9" i="7"/>
  <c r="X10" i="7"/>
  <c r="X11" i="7"/>
  <c r="X12" i="7"/>
  <c r="X4" i="7"/>
  <c r="V5" i="7"/>
  <c r="V6" i="7"/>
  <c r="V7" i="7"/>
  <c r="V8" i="7"/>
  <c r="V9" i="7"/>
  <c r="V10" i="7"/>
  <c r="V11" i="7"/>
  <c r="V12" i="7"/>
  <c r="V4" i="7"/>
  <c r="P4" i="7"/>
  <c r="V14" i="7" l="1"/>
  <c r="Z14" i="7"/>
  <c r="O18" i="8"/>
  <c r="X14" i="7"/>
  <c r="T5" i="7"/>
  <c r="T6" i="7"/>
  <c r="T7" i="7"/>
  <c r="T8" i="7"/>
  <c r="T9" i="7"/>
  <c r="T10" i="7"/>
  <c r="T11" i="7"/>
  <c r="T12" i="7"/>
  <c r="R5" i="7"/>
  <c r="R6" i="7"/>
  <c r="R7" i="7"/>
  <c r="R8" i="7"/>
  <c r="R9" i="7"/>
  <c r="R10" i="7"/>
  <c r="R11" i="7"/>
  <c r="R12" i="7"/>
  <c r="R4" i="7"/>
  <c r="P5" i="7"/>
  <c r="P6" i="7"/>
  <c r="P7" i="7"/>
  <c r="P8" i="7"/>
  <c r="P9" i="7"/>
  <c r="P10" i="7"/>
  <c r="P11" i="7"/>
  <c r="P12" i="7"/>
  <c r="N5" i="7"/>
  <c r="N6" i="7"/>
  <c r="N7" i="7"/>
  <c r="N8" i="7"/>
  <c r="N9" i="7"/>
  <c r="N10" i="7"/>
  <c r="N11" i="7"/>
  <c r="N12" i="7"/>
  <c r="N4" i="7"/>
  <c r="M5" i="7"/>
  <c r="M6" i="7"/>
  <c r="M7" i="7"/>
  <c r="M8" i="7"/>
  <c r="M9" i="7"/>
  <c r="M10" i="7"/>
  <c r="M11" i="7"/>
  <c r="M12" i="7"/>
  <c r="M4" i="7"/>
  <c r="M14" i="7" s="1"/>
  <c r="P4" i="6"/>
  <c r="P5" i="6"/>
  <c r="P6" i="6"/>
  <c r="P7" i="6"/>
  <c r="P8" i="6"/>
  <c r="P9" i="6"/>
  <c r="P10" i="6"/>
  <c r="P11" i="6"/>
  <c r="P12" i="6"/>
  <c r="P3" i="6"/>
  <c r="N3" i="6"/>
  <c r="T14" i="7" l="1"/>
  <c r="P14" i="7"/>
  <c r="N14" i="7"/>
  <c r="R14" i="7"/>
  <c r="N4" i="6"/>
  <c r="N5" i="6"/>
  <c r="N6" i="6"/>
  <c r="N7" i="6"/>
  <c r="N8" i="6"/>
  <c r="N9" i="6"/>
  <c r="N10" i="6"/>
  <c r="N11" i="6"/>
  <c r="N12" i="6"/>
  <c r="L4" i="6" l="1"/>
  <c r="L5" i="6"/>
  <c r="L6" i="6"/>
  <c r="L7" i="6"/>
  <c r="L8" i="6"/>
  <c r="L9" i="6"/>
  <c r="L10" i="6"/>
  <c r="L11" i="6"/>
  <c r="L12" i="6"/>
  <c r="L3" i="6"/>
  <c r="G9" i="35"/>
  <c r="H9" i="35" s="1"/>
  <c r="I9" i="35" l="1"/>
</calcChain>
</file>

<file path=xl/sharedStrings.xml><?xml version="1.0" encoding="utf-8"?>
<sst xmlns="http://schemas.openxmlformats.org/spreadsheetml/2006/main" count="740" uniqueCount="411">
  <si>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</si>
  <si>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</si>
  <si>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</si>
  <si>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</si>
  <si>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</si>
  <si>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</si>
  <si>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</si>
  <si>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</si>
  <si>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</si>
  <si>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</si>
  <si>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</si>
  <si>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</si>
  <si>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LUNES</t>
  </si>
  <si>
    <t>MARTES</t>
  </si>
  <si>
    <t>MIÉRCOLES</t>
  </si>
  <si>
    <t>JUEVES</t>
  </si>
  <si>
    <t>VIERNES</t>
  </si>
  <si>
    <t>SÁBADO</t>
  </si>
  <si>
    <t>DOMINGO</t>
  </si>
  <si>
    <t>Daniel</t>
  </si>
  <si>
    <t>Jorge</t>
  </si>
  <si>
    <t>Aarón</t>
  </si>
  <si>
    <t>Iván</t>
  </si>
  <si>
    <t>Alberto</t>
  </si>
  <si>
    <t>David</t>
  </si>
  <si>
    <t>Pablo</t>
  </si>
  <si>
    <t>Andrés</t>
  </si>
  <si>
    <t>Enrique</t>
  </si>
  <si>
    <t>Adrían</t>
  </si>
  <si>
    <t>Eduardo</t>
  </si>
  <si>
    <t>Alba</t>
  </si>
  <si>
    <t>Felipe</t>
  </si>
  <si>
    <t>Cristian</t>
  </si>
  <si>
    <t>Nikolai</t>
  </si>
  <si>
    <t>Oleh</t>
  </si>
  <si>
    <t>Azul</t>
  </si>
  <si>
    <t>Amarillo</t>
  </si>
  <si>
    <t>Naranja</t>
  </si>
  <si>
    <t>Rojo</t>
  </si>
  <si>
    <t>Marrón</t>
  </si>
  <si>
    <t>Verde</t>
  </si>
  <si>
    <t>Blanco</t>
  </si>
  <si>
    <t>Violeta</t>
  </si>
  <si>
    <t>negro</t>
  </si>
  <si>
    <t>alumno 1</t>
  </si>
  <si>
    <t>alumno 2</t>
  </si>
  <si>
    <t>alumno 3</t>
  </si>
  <si>
    <t>alumno 4</t>
  </si>
  <si>
    <t>alumno 5</t>
  </si>
  <si>
    <t>alumno 6</t>
  </si>
  <si>
    <t>alumno 7</t>
  </si>
  <si>
    <t>alumno 8</t>
  </si>
  <si>
    <t>alumno 9</t>
  </si>
  <si>
    <t>alumno 10</t>
  </si>
  <si>
    <t>MAT</t>
  </si>
  <si>
    <t>LENG</t>
  </si>
  <si>
    <t>ING</t>
  </si>
  <si>
    <t>CCSS</t>
  </si>
  <si>
    <t>FYQ</t>
  </si>
  <si>
    <t>MA</t>
  </si>
  <si>
    <t>MP</t>
  </si>
  <si>
    <t>SUSP</t>
  </si>
  <si>
    <t>FUMETA2</t>
  </si>
  <si>
    <t>FUMETA3</t>
  </si>
  <si>
    <t>FUMETA4</t>
  </si>
  <si>
    <t>FUMETA5</t>
  </si>
  <si>
    <t>FUMETA6</t>
  </si>
  <si>
    <t>FUMETA7</t>
  </si>
  <si>
    <t>FUMETA8</t>
  </si>
  <si>
    <t>FUMETA9</t>
  </si>
  <si>
    <t>FUMETA10</t>
  </si>
  <si>
    <t>TOTAL</t>
  </si>
  <si>
    <t>MEDIA</t>
  </si>
  <si>
    <t>MEDIA(*)</t>
  </si>
  <si>
    <t>PELIGRO</t>
  </si>
  <si>
    <t>MÁXIMO</t>
  </si>
  <si>
    <t>MÍNIMO</t>
  </si>
  <si>
    <t>MODA</t>
  </si>
  <si>
    <t>CARBONARA</t>
  </si>
  <si>
    <t>CARNÍVORA</t>
  </si>
  <si>
    <t>DE PIÑA</t>
  </si>
  <si>
    <t>HAWAIANA</t>
  </si>
  <si>
    <t>BARBACOA</t>
  </si>
  <si>
    <t>CUATRO QUESOS</t>
  </si>
  <si>
    <t>JAMON Y QUESO</t>
  </si>
  <si>
    <t>DIAVOLA</t>
  </si>
  <si>
    <t>POLLA A LA PARRILLA</t>
  </si>
  <si>
    <t>PEPPERONO</t>
  </si>
  <si>
    <t>DE ANCHOAS Y AHUMADOS</t>
  </si>
  <si>
    <t>JÁMOS SERRANO</t>
  </si>
  <si>
    <t>MARGARITA</t>
  </si>
  <si>
    <t xml:space="preserve">MEDIA </t>
  </si>
  <si>
    <t>CHAVAL1</t>
  </si>
  <si>
    <t>CHAVAL2</t>
  </si>
  <si>
    <t>CHAVAL3</t>
  </si>
  <si>
    <t>CHAVAL4</t>
  </si>
  <si>
    <t>CHAVAL5</t>
  </si>
  <si>
    <t>CHAVAL6</t>
  </si>
  <si>
    <t>CHAVAL7</t>
  </si>
  <si>
    <t>CHAVAL8</t>
  </si>
  <si>
    <t>CHAVAL9</t>
  </si>
  <si>
    <t>CHAVAL10</t>
  </si>
  <si>
    <t>LENGUA</t>
  </si>
  <si>
    <t>MONTAJE</t>
  </si>
  <si>
    <t>REDES</t>
  </si>
  <si>
    <t>OFIMATICA</t>
  </si>
  <si>
    <t>SOMO</t>
  </si>
  <si>
    <t>MA*</t>
  </si>
  <si>
    <t>INFORME</t>
  </si>
  <si>
    <t>RAREZA</t>
  </si>
  <si>
    <t>D M -</t>
  </si>
  <si>
    <t>Real Madrid</t>
  </si>
  <si>
    <t>Valencia</t>
  </si>
  <si>
    <t>Sevilla</t>
  </si>
  <si>
    <t>Barcelona</t>
  </si>
  <si>
    <t>Liverpool</t>
  </si>
  <si>
    <t>M.C</t>
  </si>
  <si>
    <t>Almeria</t>
  </si>
  <si>
    <t>Leganes</t>
  </si>
  <si>
    <t>Real Betis</t>
  </si>
  <si>
    <t>V</t>
  </si>
  <si>
    <t>D</t>
  </si>
  <si>
    <t>E</t>
  </si>
  <si>
    <t>ALUNMNO1</t>
  </si>
  <si>
    <t>ALUNMNO2</t>
  </si>
  <si>
    <t>ALUNMNO3</t>
  </si>
  <si>
    <t>ALUNMNO4</t>
  </si>
  <si>
    <t>ALUNMNO5</t>
  </si>
  <si>
    <t>ALUNMNO6</t>
  </si>
  <si>
    <t>ALUNMNO7</t>
  </si>
  <si>
    <t>ALUNMNO8</t>
  </si>
  <si>
    <t>ALUNMNO9</t>
  </si>
  <si>
    <t>ALUNMNO10</t>
  </si>
  <si>
    <t>CALIFICACIÓN</t>
  </si>
  <si>
    <t>CIENCIAS O LETRAS</t>
  </si>
  <si>
    <t>CIENCIAS O LETRAS*</t>
  </si>
  <si>
    <t>REAL MADRID C.F.</t>
  </si>
  <si>
    <t>SEVILLA C.F.</t>
  </si>
  <si>
    <t>VENCEDOR</t>
  </si>
  <si>
    <t>EIBAR</t>
  </si>
  <si>
    <t>ATLETICO DE MADRID</t>
  </si>
  <si>
    <t>BARCELONA</t>
  </si>
  <si>
    <t>GRANADA</t>
  </si>
  <si>
    <t>CHEALSE</t>
  </si>
  <si>
    <t>EVERTON</t>
  </si>
  <si>
    <t>TORINO</t>
  </si>
  <si>
    <t>ROMA</t>
  </si>
  <si>
    <t>JUVENTUS</t>
  </si>
  <si>
    <t>VALENCIA</t>
  </si>
  <si>
    <t>AJAX</t>
  </si>
  <si>
    <t>SALAMANCA</t>
  </si>
  <si>
    <t>VILLAREAL</t>
  </si>
  <si>
    <t>ESPAÑOL</t>
  </si>
  <si>
    <t>LOCAL</t>
  </si>
  <si>
    <t>VISITANTE</t>
  </si>
  <si>
    <t>Estudiante1</t>
  </si>
  <si>
    <t>Estudiante2</t>
  </si>
  <si>
    <t>Estudiante3</t>
  </si>
  <si>
    <t>Estudiante4</t>
  </si>
  <si>
    <t>Estudiante5</t>
  </si>
  <si>
    <t>Estudiante6</t>
  </si>
  <si>
    <t>Estudiante7</t>
  </si>
  <si>
    <t>Estudiante8</t>
  </si>
  <si>
    <t>Estudiante9</t>
  </si>
  <si>
    <t>Estudiante10</t>
  </si>
  <si>
    <t>DECISIÓN</t>
  </si>
  <si>
    <t>CAMPEON</t>
  </si>
  <si>
    <t>PRINGAO</t>
  </si>
  <si>
    <t>AUN PUEDES</t>
  </si>
  <si>
    <t>CASI CRACK</t>
  </si>
  <si>
    <t>DECISIÓN 1</t>
  </si>
  <si>
    <t>DECISION 2</t>
  </si>
  <si>
    <t>HORAS</t>
  </si>
  <si>
    <t>MINUTOS</t>
  </si>
  <si>
    <t>SEGUNDOS</t>
  </si>
  <si>
    <t>Roger Federer</t>
  </si>
  <si>
    <t>Rafael Nadal</t>
  </si>
  <si>
    <t>Novak Djokovic</t>
  </si>
  <si>
    <t>Pete Sampras</t>
  </si>
  <si>
    <t>Bjorn Borg</t>
  </si>
  <si>
    <t>Ivan Lendl</t>
  </si>
  <si>
    <t>Jimmy Connors</t>
  </si>
  <si>
    <t>Andre Agassi</t>
  </si>
  <si>
    <t>John McEnroe</t>
  </si>
  <si>
    <t>Mats Wilander</t>
  </si>
  <si>
    <t>Stefan Edberg</t>
  </si>
  <si>
    <t>Boris Becker</t>
  </si>
  <si>
    <t>MAX</t>
  </si>
  <si>
    <t>AUS</t>
  </si>
  <si>
    <t>GARROS</t>
  </si>
  <si>
    <t>US OPEN</t>
  </si>
  <si>
    <t>WIM</t>
  </si>
  <si>
    <t>TITULO FETICHE</t>
  </si>
  <si>
    <t>ESTADO DE FORMA</t>
  </si>
  <si>
    <t>PUNTOS</t>
  </si>
  <si>
    <t>MEDIA POR TÍTULO</t>
  </si>
  <si>
    <t>TRATAMIENTO</t>
  </si>
  <si>
    <t>SI EN TORNO A LA MEDIA ESTAN +- 50, BENEFICIADOS, PERJUDICADOS</t>
  </si>
  <si>
    <t>MALEANTE1</t>
  </si>
  <si>
    <t>MALEANTE2</t>
  </si>
  <si>
    <t>MALEANTE3</t>
  </si>
  <si>
    <t>MALEANTE4</t>
  </si>
  <si>
    <t>MALEANTE5</t>
  </si>
  <si>
    <t>MALEANTE6</t>
  </si>
  <si>
    <t>MALEANTE7</t>
  </si>
  <si>
    <t>MALEANTE8</t>
  </si>
  <si>
    <t>MALEANTE9</t>
  </si>
  <si>
    <t>MALEANTE10</t>
  </si>
  <si>
    <t>MALEANTE11</t>
  </si>
  <si>
    <t>MALEANTE12</t>
  </si>
  <si>
    <t>MALEANTE13</t>
  </si>
  <si>
    <t>MALEANTE14</t>
  </si>
  <si>
    <t>MALEANTE15</t>
  </si>
  <si>
    <t>Cigarros</t>
  </si>
  <si>
    <t>Café</t>
  </si>
  <si>
    <t>Sueño</t>
  </si>
  <si>
    <t>Correr</t>
  </si>
  <si>
    <t>Tensión</t>
  </si>
  <si>
    <t>N0</t>
  </si>
  <si>
    <t>SÍ</t>
  </si>
  <si>
    <t>Colesterol</t>
  </si>
  <si>
    <t>Malos Humos</t>
  </si>
  <si>
    <t xml:space="preserve">Saludables </t>
  </si>
  <si>
    <t xml:space="preserve">Tolerables </t>
  </si>
  <si>
    <t xml:space="preserve">nocivos </t>
  </si>
  <si>
    <t>5,8</t>
  </si>
  <si>
    <t>SALUD</t>
  </si>
  <si>
    <t>PREOCUPANTE</t>
  </si>
  <si>
    <t>INDIFERENTE</t>
  </si>
  <si>
    <t>CUÍDATE</t>
  </si>
  <si>
    <t>&lt;=8;&gt;=5</t>
  </si>
  <si>
    <t>&gt;8;&gt;5</t>
  </si>
  <si>
    <t>&lt;=8; &lt;5</t>
  </si>
  <si>
    <t>&gt;8;&lt;5</t>
  </si>
  <si>
    <t>MAZAPANES</t>
  </si>
  <si>
    <t>POLVORONES</t>
  </si>
  <si>
    <t>SIDRA</t>
  </si>
  <si>
    <t>CHAMPÁN</t>
  </si>
  <si>
    <t>NADIE CONOCE A NADIE</t>
  </si>
  <si>
    <t>TODOS LOS HOMBRES SOIS IGUALES</t>
  </si>
  <si>
    <t>ALGUNAS HOMBRES BUENOS</t>
  </si>
  <si>
    <t xml:space="preserve">A </t>
  </si>
  <si>
    <t>B</t>
  </si>
  <si>
    <t>C</t>
  </si>
  <si>
    <t>F</t>
  </si>
  <si>
    <t>F*</t>
  </si>
  <si>
    <t>A</t>
  </si>
  <si>
    <t>F**</t>
  </si>
  <si>
    <t>PIZZA</t>
  </si>
  <si>
    <t>BUTGER</t>
  </si>
  <si>
    <t>MENU DEL DIA</t>
  </si>
  <si>
    <t>farolas</t>
  </si>
  <si>
    <t>bancos</t>
  </si>
  <si>
    <t>papeleras</t>
  </si>
  <si>
    <t>malus</t>
  </si>
  <si>
    <t>bonus</t>
  </si>
  <si>
    <t>optimus</t>
  </si>
  <si>
    <t xml:space="preserve"> </t>
  </si>
  <si>
    <t>VENECIA</t>
  </si>
  <si>
    <t xml:space="preserve">SANTA CRUZ DE TENERIFE </t>
  </si>
  <si>
    <t>COLONIA</t>
  </si>
  <si>
    <t>RIO DE JANEIRO</t>
  </si>
  <si>
    <t>CADIZ</t>
  </si>
  <si>
    <t>NUEVA ORLEANS</t>
  </si>
  <si>
    <t>DIAS</t>
  </si>
  <si>
    <t>COMPARSAS</t>
  </si>
  <si>
    <t>CHIRIGOTAS</t>
  </si>
  <si>
    <t>DUOS</t>
  </si>
  <si>
    <t>GRUPOS</t>
  </si>
  <si>
    <t>HERENCIA</t>
  </si>
  <si>
    <t>NO</t>
  </si>
  <si>
    <t>HOTELES</t>
  </si>
  <si>
    <t>ASISTENTES</t>
  </si>
  <si>
    <t>ASISTENCIA MEDIA</t>
  </si>
  <si>
    <t>PROTECCION CIVIL</t>
  </si>
  <si>
    <t>SIN CARETAS</t>
  </si>
  <si>
    <t>ALCALA DE HENARES</t>
  </si>
  <si>
    <t>UNIDADES</t>
  </si>
  <si>
    <t>DESCRIPCIÓN</t>
  </si>
  <si>
    <t>SUBTOTAL</t>
  </si>
  <si>
    <t>EQUIPACION REAL MADRID</t>
  </si>
  <si>
    <t>ATÚN EN ESCABECHE</t>
  </si>
  <si>
    <t>JAMÓN DE BELLOTA</t>
  </si>
  <si>
    <t>PRINGLES SOBAR BARBACOA</t>
  </si>
  <si>
    <t>SWITCH CATALYST 2880-248</t>
  </si>
  <si>
    <t>MONITOR 27" ACER</t>
  </si>
  <si>
    <t>SILLAS ERGONOMICAS GAMING</t>
  </si>
  <si>
    <t>GUANTES DE BOXEO (PAR)</t>
  </si>
  <si>
    <t>PIZZAS MARGARITA PAPA JONES</t>
  </si>
  <si>
    <t>P.U.</t>
  </si>
  <si>
    <t>SUBTOTAL:</t>
  </si>
  <si>
    <t>DESCUENTOS:</t>
  </si>
  <si>
    <t>IVA(21%):</t>
  </si>
  <si>
    <t>TOTAL:</t>
  </si>
  <si>
    <t>DESCUETOS:</t>
  </si>
  <si>
    <t>&gt;3000;5    &gt;2000;2    &gt;1000;1    0</t>
  </si>
  <si>
    <t>CÓDIGO</t>
  </si>
  <si>
    <t>CONCEPTO</t>
  </si>
  <si>
    <t>PRECIO</t>
  </si>
  <si>
    <t>PAÍS</t>
  </si>
  <si>
    <t>SECCIÓN</t>
  </si>
  <si>
    <t>TORNILOS 5MM</t>
  </si>
  <si>
    <t>TORNILLOS 2,5 MM</t>
  </si>
  <si>
    <t>TORNILLOS 1 MM</t>
  </si>
  <si>
    <t>BRIDAS ANCHAS</t>
  </si>
  <si>
    <t>BRIDAS FINAS</t>
  </si>
  <si>
    <t>CINTA CARROCERA</t>
  </si>
  <si>
    <t>MOTOSIERRAS</t>
  </si>
  <si>
    <t>SERRUCHOS</t>
  </si>
  <si>
    <t>TEFLÓN</t>
  </si>
  <si>
    <t>CERRADURA</t>
  </si>
  <si>
    <t>ALICATES</t>
  </si>
  <si>
    <t>FREGONAS</t>
  </si>
  <si>
    <t>MARTILLAS</t>
  </si>
  <si>
    <t>PERSIANAS</t>
  </si>
  <si>
    <t>TOR-5</t>
  </si>
  <si>
    <t>TOR-1</t>
  </si>
  <si>
    <t>TOR-2,5</t>
  </si>
  <si>
    <t>BR-AN</t>
  </si>
  <si>
    <t>BR-FI</t>
  </si>
  <si>
    <t>CINA-CA</t>
  </si>
  <si>
    <t>MOTO</t>
  </si>
  <si>
    <t>SERR</t>
  </si>
  <si>
    <t>TEF</t>
  </si>
  <si>
    <t>CERR</t>
  </si>
  <si>
    <t>ALI</t>
  </si>
  <si>
    <t>FREG</t>
  </si>
  <si>
    <t>MART</t>
  </si>
  <si>
    <t>PERS</t>
  </si>
  <si>
    <t>STOCK</t>
  </si>
  <si>
    <t>ESPAÑA</t>
  </si>
  <si>
    <t>ITALIA</t>
  </si>
  <si>
    <t>CHINA</t>
  </si>
  <si>
    <t>FRANCIA</t>
  </si>
  <si>
    <t>TEXAS</t>
  </si>
  <si>
    <t>ALEMANIA</t>
  </si>
  <si>
    <t>PORTUGAL</t>
  </si>
  <si>
    <t>SIUZA</t>
  </si>
  <si>
    <t>ARGENTINA</t>
  </si>
  <si>
    <t>FERRETERIA</t>
  </si>
  <si>
    <t>ELECTRICIDAD</t>
  </si>
  <si>
    <t>CARPINTERIA</t>
  </si>
  <si>
    <t>COCINA</t>
  </si>
  <si>
    <t>LIMPIEZA</t>
  </si>
  <si>
    <t>HOGAR</t>
  </si>
  <si>
    <t>CANTIDAD</t>
  </si>
  <si>
    <t>ARTÍCULO</t>
  </si>
  <si>
    <t>TEJIDO</t>
  </si>
  <si>
    <t>CAMISA RAYAS DUSTIN</t>
  </si>
  <si>
    <t xml:space="preserve">CINTURÓN DOBLE VERSACE </t>
  </si>
  <si>
    <t>GORRU GUCCI</t>
  </si>
  <si>
    <t>PANTALÓN LEVIS PANA</t>
  </si>
  <si>
    <t>PANTALÓN LEVIS 501</t>
  </si>
  <si>
    <t>PANTALÓN PATA</t>
  </si>
  <si>
    <t>FALDA DE TABLAS</t>
  </si>
  <si>
    <t>DISFRAZ DINOSAURIO</t>
  </si>
  <si>
    <t>DISFRAZ OESTE</t>
  </si>
  <si>
    <t>ZAPATILLAS SUPREME</t>
  </si>
  <si>
    <t>SUDADERA SUPREME</t>
  </si>
  <si>
    <t>LENCERÍA VICTORIA SECRET</t>
  </si>
  <si>
    <t>TANGA ORGÁNICO</t>
  </si>
  <si>
    <t>BOLSO LOUIS VUITTON</t>
  </si>
  <si>
    <t>CAMISETA PALACE</t>
  </si>
  <si>
    <t>CALCETINAS OFF WHITE</t>
  </si>
  <si>
    <t>ZAPATILLS TRAVIS SCHOTT</t>
  </si>
  <si>
    <t>PALABRA DE HONOR</t>
  </si>
  <si>
    <t>ALGODÓN</t>
  </si>
  <si>
    <t>CUERO</t>
  </si>
  <si>
    <t>LANA</t>
  </si>
  <si>
    <t>SINTETICO</t>
  </si>
  <si>
    <t>SINTÉTICO</t>
  </si>
  <si>
    <t>MADERA</t>
  </si>
  <si>
    <t>PLÁSTICO</t>
  </si>
  <si>
    <t>POLIPIEL</t>
  </si>
  <si>
    <t>SEDA</t>
  </si>
  <si>
    <t>POLIÍMERO</t>
  </si>
  <si>
    <t>LINO</t>
  </si>
  <si>
    <t>COLOR</t>
  </si>
  <si>
    <t>COLORES</t>
  </si>
  <si>
    <t>ROJO</t>
  </si>
  <si>
    <t>BLANCO</t>
  </si>
  <si>
    <t>NEGRO</t>
  </si>
  <si>
    <t>AMARILLO</t>
  </si>
  <si>
    <t>VERDE</t>
  </si>
  <si>
    <t>AZUL</t>
  </si>
  <si>
    <t>PORCENTAJE</t>
  </si>
  <si>
    <t>LUGAR</t>
  </si>
  <si>
    <t>MADRID</t>
  </si>
  <si>
    <t>PROVINCIAS</t>
  </si>
  <si>
    <t>ISLAS</t>
  </si>
  <si>
    <t>UE</t>
  </si>
  <si>
    <t>USA</t>
  </si>
  <si>
    <t>RESTO</t>
  </si>
  <si>
    <t>DESCUENTO:</t>
  </si>
  <si>
    <t>ENVÍO:</t>
  </si>
  <si>
    <t xml:space="preserve">IVA </t>
  </si>
  <si>
    <t>REDUCIDO</t>
  </si>
  <si>
    <t>NORMAL</t>
  </si>
  <si>
    <t>BASICA</t>
  </si>
  <si>
    <t>IVA:</t>
  </si>
  <si>
    <t>No</t>
  </si>
  <si>
    <t>Sí</t>
  </si>
  <si>
    <t>REGALO</t>
  </si>
  <si>
    <t>DESCUENTO POR REGALO</t>
  </si>
  <si>
    <t>Descuento</t>
  </si>
  <si>
    <t>TOTAL ARTICULOS REGALO</t>
  </si>
  <si>
    <t>PRECIO EVOLTORIO REGALO</t>
  </si>
  <si>
    <t>OBJETIVO VENTAS PARA DESCUENTO POR REGALO</t>
  </si>
  <si>
    <t>PERZONALIZADA</t>
  </si>
  <si>
    <t>PRECIO PERSONALIZACION ARTÍCULOS</t>
  </si>
  <si>
    <t>CHAQUETILLA DE SOÑORA DE 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</si>
</sst>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0.0"/>
    <numFmt numFmtId="165" formatCode="_-* #,##0.00\ [$€-C0A]_-;\-* #,##0.00\ [$€-C0A]_-;_-* &quot;-&quot;??\ [$€-C0A]_-;_-@_-"/>
    <numFmt numFmtId="166" formatCode="#,##0.00\ &quot;€&quot;"/>
  </numFmts>
  <fonts count="22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9" fillId="0" borderId="0" applyFont="0" applyFill="0" applyBorder="0" applyAlignment="0" applyProtection="0"/>
  </cellStyleXfs>
  <cellXfs count="20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3" fillId="0" borderId="0" xfId="0" applyFont="1" applyFill="1"/>
    <xf numFmtId="0" fontId="4" fillId="2" borderId="0" xfId="0" applyFont="1" applyFill="1" applyAlignment="1">
      <alignment horizontal="center" textRotation="90"/>
    </xf>
    <xf numFmtId="0" fontId="0" fillId="0" borderId="1" xfId="0" applyBorder="1" applyAlignment="1">
      <alignment horizontal="center"/>
    </xf>
    <xf numFmtId="0" fontId="2" fillId="2" borderId="0" xfId="0" applyFont="1" applyFill="1"/>
    <xf numFmtId="0" fontId="5" fillId="2" borderId="0" xfId="0" applyFont="1" applyFill="1" applyAlignment="1">
      <alignment horizontal="center" textRotation="90"/>
    </xf>
    <xf numFmtId="0" fontId="6" fillId="2" borderId="0" xfId="0" applyFont="1" applyFill="1" applyAlignment="1">
      <alignment horizontal="center" textRotation="90"/>
    </xf>
    <xf numFmtId="0" fontId="7" fillId="2" borderId="0" xfId="0" applyFont="1" applyFill="1" applyAlignment="1">
      <alignment textRotation="90"/>
    </xf>
    <xf numFmtId="0" fontId="8" fillId="2" borderId="0" xfId="0" applyFont="1" applyFill="1" applyAlignment="1">
      <alignment textRotation="90"/>
    </xf>
    <xf numFmtId="0" fontId="9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/>
    <xf numFmtId="0" fontId="11" fillId="2" borderId="0" xfId="0" applyFont="1" applyFill="1" applyAlignment="1">
      <alignment textRotation="90"/>
    </xf>
    <xf numFmtId="0" fontId="10" fillId="4" borderId="0" xfId="0" applyFont="1" applyFill="1"/>
    <xf numFmtId="0" fontId="12" fillId="0" borderId="6" xfId="0" applyFont="1" applyBorder="1" applyAlignment="1">
      <alignment horizontal="center" vertical="center"/>
    </xf>
    <xf numFmtId="0" fontId="10" fillId="4" borderId="7" xfId="0" applyFont="1" applyFill="1" applyBorder="1"/>
    <xf numFmtId="0" fontId="10" fillId="4" borderId="8" xfId="0" applyFont="1" applyFill="1" applyBorder="1"/>
    <xf numFmtId="0" fontId="10" fillId="2" borderId="9" xfId="0" applyFont="1" applyFill="1" applyBorder="1" applyAlignment="1">
      <alignment horizontal="center" textRotation="90"/>
    </xf>
    <xf numFmtId="0" fontId="10" fillId="2" borderId="10" xfId="0" applyFont="1" applyFill="1" applyBorder="1" applyAlignment="1">
      <alignment horizontal="center" textRotation="90"/>
    </xf>
    <xf numFmtId="0" fontId="10" fillId="2" borderId="0" xfId="0" applyFont="1" applyFill="1" applyBorder="1" applyAlignment="1">
      <alignment horizontal="center" textRotation="90"/>
    </xf>
    <xf numFmtId="0" fontId="0" fillId="0" borderId="11" xfId="0" applyBorder="1"/>
    <xf numFmtId="0" fontId="0" fillId="0" borderId="12" xfId="0" applyBorder="1"/>
    <xf numFmtId="0" fontId="0" fillId="5" borderId="1" xfId="0" applyFill="1" applyBorder="1" applyAlignment="1">
      <alignment horizontal="center"/>
    </xf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0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7" xfId="0" applyBorder="1" applyAlignment="1">
      <alignment horizontal="center"/>
    </xf>
    <xf numFmtId="0" fontId="10" fillId="6" borderId="28" xfId="0" applyFont="1" applyFill="1" applyBorder="1" applyAlignment="1">
      <alignment textRotation="90"/>
    </xf>
    <xf numFmtId="0" fontId="10" fillId="6" borderId="29" xfId="0" applyFont="1" applyFill="1" applyBorder="1" applyAlignment="1">
      <alignment textRotation="90"/>
    </xf>
    <xf numFmtId="0" fontId="10" fillId="6" borderId="30" xfId="0" applyFont="1" applyFill="1" applyBorder="1" applyAlignment="1">
      <alignment textRotation="90"/>
    </xf>
    <xf numFmtId="164" fontId="0" fillId="0" borderId="0" xfId="0" applyNumberFormat="1"/>
    <xf numFmtId="0" fontId="10" fillId="6" borderId="31" xfId="0" applyFont="1" applyFill="1" applyBorder="1" applyAlignment="1">
      <alignment textRotation="90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164" fontId="0" fillId="0" borderId="32" xfId="0" applyNumberFormat="1" applyBorder="1" applyAlignment="1">
      <alignment horizontal="center"/>
    </xf>
    <xf numFmtId="164" fontId="0" fillId="0" borderId="33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164" fontId="0" fillId="0" borderId="34" xfId="0" applyNumberFormat="1" applyBorder="1" applyAlignment="1">
      <alignment horizontal="center"/>
    </xf>
    <xf numFmtId="0" fontId="10" fillId="6" borderId="21" xfId="0" applyFont="1" applyFill="1" applyBorder="1" applyAlignment="1">
      <alignment textRotation="90"/>
    </xf>
    <xf numFmtId="0" fontId="10" fillId="6" borderId="3" xfId="0" applyFont="1" applyFill="1" applyBorder="1" applyAlignment="1">
      <alignment textRotation="90"/>
    </xf>
    <xf numFmtId="164" fontId="0" fillId="0" borderId="2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13" fillId="0" borderId="0" xfId="0" applyFont="1" applyAlignment="1">
      <alignment horizontal="center"/>
    </xf>
    <xf numFmtId="0" fontId="0" fillId="0" borderId="6" xfId="0" applyBorder="1"/>
    <xf numFmtId="0" fontId="13" fillId="7" borderId="35" xfId="0" applyFont="1" applyFill="1" applyBorder="1" applyAlignment="1">
      <alignment horizontal="center"/>
    </xf>
    <xf numFmtId="0" fontId="13" fillId="7" borderId="35" xfId="0" applyFont="1" applyFill="1" applyBorder="1"/>
    <xf numFmtId="0" fontId="13" fillId="7" borderId="36" xfId="0" applyFont="1" applyFill="1" applyBorder="1" applyAlignment="1">
      <alignment horizontal="center"/>
    </xf>
    <xf numFmtId="0" fontId="0" fillId="0" borderId="22" xfId="0" applyBorder="1"/>
    <xf numFmtId="0" fontId="0" fillId="0" borderId="24" xfId="0" applyBorder="1"/>
    <xf numFmtId="0" fontId="0" fillId="7" borderId="0" xfId="0" applyFill="1" applyAlignment="1">
      <alignment horizontal="center"/>
    </xf>
    <xf numFmtId="0" fontId="13" fillId="7" borderId="31" xfId="0" applyFont="1" applyFill="1" applyBorder="1" applyAlignment="1">
      <alignment horizontal="center"/>
    </xf>
    <xf numFmtId="0" fontId="0" fillId="7" borderId="0" xfId="0" applyFill="1"/>
    <xf numFmtId="0" fontId="0" fillId="0" borderId="0" xfId="0" applyFill="1"/>
    <xf numFmtId="0" fontId="10" fillId="7" borderId="0" xfId="0" applyFont="1" applyFill="1" applyAlignment="1">
      <alignment horizontal="center"/>
    </xf>
    <xf numFmtId="0" fontId="16" fillId="7" borderId="0" xfId="0" applyFont="1" applyFill="1" applyAlignment="1">
      <alignment horizontal="center"/>
    </xf>
    <xf numFmtId="0" fontId="14" fillId="8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5" fillId="7" borderId="0" xfId="0" applyFont="1" applyFill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 applyFill="1" applyBorder="1" applyAlignment="1">
      <alignment horizontal="center" wrapText="1"/>
    </xf>
    <xf numFmtId="0" fontId="13" fillId="0" borderId="28" xfId="0" applyFont="1" applyBorder="1" applyAlignment="1">
      <alignment horizontal="center"/>
    </xf>
    <xf numFmtId="0" fontId="13" fillId="0" borderId="29" xfId="0" applyFont="1" applyBorder="1" applyAlignment="1">
      <alignment horizontal="center"/>
    </xf>
    <xf numFmtId="0" fontId="13" fillId="0" borderId="29" xfId="0" applyFont="1" applyFill="1" applyBorder="1" applyAlignment="1">
      <alignment horizontal="center" wrapText="1"/>
    </xf>
    <xf numFmtId="0" fontId="13" fillId="0" borderId="21" xfId="0" applyFont="1" applyFill="1" applyBorder="1" applyAlignment="1">
      <alignment horizontal="center" wrapText="1"/>
    </xf>
    <xf numFmtId="0" fontId="13" fillId="0" borderId="40" xfId="0" applyFont="1" applyBorder="1" applyAlignment="1">
      <alignment horizontal="center" wrapText="1"/>
    </xf>
    <xf numFmtId="1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3" fillId="10" borderId="1" xfId="0" applyFont="1" applyFill="1" applyBorder="1"/>
    <xf numFmtId="0" fontId="13" fillId="10" borderId="41" xfId="0" applyFont="1" applyFill="1" applyBorder="1" applyAlignment="1">
      <alignment horizontal="center"/>
    </xf>
    <xf numFmtId="0" fontId="13" fillId="10" borderId="9" xfId="0" applyFont="1" applyFill="1" applyBorder="1" applyAlignment="1">
      <alignment horizontal="center"/>
    </xf>
    <xf numFmtId="0" fontId="13" fillId="10" borderId="10" xfId="0" applyFont="1" applyFill="1" applyBorder="1" applyAlignment="1">
      <alignment horizontal="center"/>
    </xf>
    <xf numFmtId="0" fontId="13" fillId="10" borderId="42" xfId="0" applyFont="1" applyFill="1" applyBorder="1"/>
    <xf numFmtId="0" fontId="17" fillId="11" borderId="6" xfId="0" applyFont="1" applyFill="1" applyBorder="1" applyAlignment="1">
      <alignment horizontal="center"/>
    </xf>
    <xf numFmtId="0" fontId="17" fillId="11" borderId="35" xfId="0" applyFont="1" applyFill="1" applyBorder="1" applyAlignment="1">
      <alignment horizontal="center"/>
    </xf>
    <xf numFmtId="0" fontId="17" fillId="11" borderId="36" xfId="0" applyFont="1" applyFill="1" applyBorder="1" applyAlignment="1">
      <alignment horizontal="center"/>
    </xf>
    <xf numFmtId="0" fontId="17" fillId="11" borderId="22" xfId="0" applyFont="1" applyFill="1" applyBorder="1" applyAlignment="1">
      <alignment horizontal="center"/>
    </xf>
    <xf numFmtId="0" fontId="17" fillId="11" borderId="1" xfId="0" applyFont="1" applyFill="1" applyBorder="1" applyAlignment="1">
      <alignment horizontal="center"/>
    </xf>
    <xf numFmtId="0" fontId="17" fillId="11" borderId="23" xfId="0" applyFont="1" applyFill="1" applyBorder="1" applyAlignment="1">
      <alignment horizontal="center"/>
    </xf>
    <xf numFmtId="0" fontId="17" fillId="11" borderId="24" xfId="0" applyFont="1" applyFill="1" applyBorder="1" applyAlignment="1">
      <alignment horizontal="center"/>
    </xf>
    <xf numFmtId="0" fontId="17" fillId="11" borderId="25" xfId="0" applyFont="1" applyFill="1" applyBorder="1" applyAlignment="1">
      <alignment horizontal="center"/>
    </xf>
    <xf numFmtId="0" fontId="17" fillId="11" borderId="26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3" fillId="10" borderId="43" xfId="0" applyFont="1" applyFill="1" applyBorder="1" applyAlignment="1">
      <alignment horizontal="center"/>
    </xf>
    <xf numFmtId="0" fontId="17" fillId="10" borderId="0" xfId="0" applyFont="1" applyFill="1" applyAlignment="1">
      <alignment horizontal="center"/>
    </xf>
    <xf numFmtId="0" fontId="13" fillId="10" borderId="0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5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13" borderId="36" xfId="0" applyFill="1" applyBorder="1" applyAlignment="1">
      <alignment horizontal="center"/>
    </xf>
    <xf numFmtId="0" fontId="0" fillId="13" borderId="23" xfId="0" applyFill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13" borderId="27" xfId="0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0" fillId="13" borderId="36" xfId="0" quotePrefix="1" applyFill="1" applyBorder="1" applyAlignment="1">
      <alignment horizontal="center"/>
    </xf>
    <xf numFmtId="0" fontId="3" fillId="0" borderId="0" xfId="0" applyFont="1"/>
    <xf numFmtId="0" fontId="17" fillId="12" borderId="47" xfId="0" applyFont="1" applyFill="1" applyBorder="1" applyAlignment="1">
      <alignment horizontal="center"/>
    </xf>
    <xf numFmtId="0" fontId="17" fillId="12" borderId="29" xfId="0" applyFont="1" applyFill="1" applyBorder="1" applyAlignment="1">
      <alignment horizontal="center"/>
    </xf>
    <xf numFmtId="0" fontId="17" fillId="12" borderId="40" xfId="0" applyFont="1" applyFill="1" applyBorder="1" applyAlignment="1">
      <alignment horizontal="center"/>
    </xf>
    <xf numFmtId="0" fontId="3" fillId="12" borderId="48" xfId="0" applyFont="1" applyFill="1" applyBorder="1" applyAlignment="1">
      <alignment horizontal="center"/>
    </xf>
    <xf numFmtId="0" fontId="17" fillId="12" borderId="49" xfId="0" applyFont="1" applyFill="1" applyBorder="1" applyAlignment="1">
      <alignment horizontal="center"/>
    </xf>
    <xf numFmtId="0" fontId="0" fillId="12" borderId="0" xfId="0" applyFill="1"/>
    <xf numFmtId="0" fontId="17" fillId="12" borderId="21" xfId="0" applyFont="1" applyFill="1" applyBorder="1" applyAlignment="1">
      <alignment horizontal="center"/>
    </xf>
    <xf numFmtId="0" fontId="2" fillId="12" borderId="0" xfId="0" applyFont="1" applyFill="1" applyAlignment="1">
      <alignment horizontal="center"/>
    </xf>
    <xf numFmtId="0" fontId="2" fillId="12" borderId="11" xfId="0" applyFont="1" applyFill="1" applyBorder="1" applyAlignment="1">
      <alignment horizontal="center"/>
    </xf>
    <xf numFmtId="0" fontId="2" fillId="12" borderId="44" xfId="0" applyFont="1" applyFill="1" applyBorder="1" applyAlignment="1">
      <alignment horizontal="center"/>
    </xf>
    <xf numFmtId="0" fontId="18" fillId="12" borderId="0" xfId="0" applyFont="1" applyFill="1" applyBorder="1" applyAlignment="1">
      <alignment horizontal="center"/>
    </xf>
    <xf numFmtId="0" fontId="2" fillId="12" borderId="45" xfId="0" applyFont="1" applyFill="1" applyBorder="1" applyAlignment="1">
      <alignment horizontal="center"/>
    </xf>
    <xf numFmtId="0" fontId="0" fillId="0" borderId="0" xfId="0" applyAlignment="1">
      <alignment horizontal="center" textRotation="90"/>
    </xf>
    <xf numFmtId="0" fontId="0" fillId="1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165" fontId="0" fillId="0" borderId="1" xfId="0" applyNumberFormat="1" applyBorder="1"/>
    <xf numFmtId="0" fontId="0" fillId="0" borderId="1" xfId="0" applyBorder="1" applyAlignment="1">
      <alignment horizontal="right"/>
    </xf>
    <xf numFmtId="44" fontId="0" fillId="0" borderId="1" xfId="1" applyFont="1" applyBorder="1"/>
    <xf numFmtId="0" fontId="0" fillId="5" borderId="0" xfId="0" applyFill="1"/>
    <xf numFmtId="0" fontId="0" fillId="4" borderId="0" xfId="0" applyFill="1"/>
    <xf numFmtId="0" fontId="0" fillId="5" borderId="0" xfId="0" applyFill="1" applyAlignment="1">
      <alignment horizontal="center"/>
    </xf>
    <xf numFmtId="0" fontId="2" fillId="2" borderId="21" xfId="0" applyFont="1" applyFill="1" applyBorder="1"/>
    <xf numFmtId="0" fontId="2" fillId="2" borderId="21" xfId="0" applyFont="1" applyFill="1" applyBorder="1" applyAlignment="1">
      <alignment horizontal="center"/>
    </xf>
    <xf numFmtId="166" fontId="2" fillId="2" borderId="21" xfId="1" applyNumberFormat="1" applyFont="1" applyFill="1" applyBorder="1" applyAlignment="1">
      <alignment horizontal="center"/>
    </xf>
    <xf numFmtId="0" fontId="2" fillId="2" borderId="21" xfId="0" applyFont="1" applyFill="1" applyBorder="1" applyAlignment="1" applyProtection="1">
      <alignment horizontal="center"/>
      <protection locked="0"/>
    </xf>
    <xf numFmtId="0" fontId="0" fillId="0" borderId="50" xfId="0" applyFill="1" applyBorder="1"/>
    <xf numFmtId="166" fontId="2" fillId="2" borderId="0" xfId="0" applyNumberFormat="1" applyFont="1" applyFill="1" applyAlignment="1">
      <alignment horizontal="center"/>
    </xf>
    <xf numFmtId="0" fontId="0" fillId="2" borderId="0" xfId="0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17" fillId="0" borderId="1" xfId="0" applyFont="1" applyFill="1" applyBorder="1"/>
    <xf numFmtId="166" fontId="17" fillId="0" borderId="1" xfId="1" applyNumberFormat="1" applyFont="1" applyFill="1" applyBorder="1" applyAlignment="1">
      <alignment horizontal="center"/>
    </xf>
    <xf numFmtId="0" fontId="18" fillId="4" borderId="1" xfId="0" applyFont="1" applyFill="1" applyBorder="1"/>
    <xf numFmtId="0" fontId="0" fillId="5" borderId="1" xfId="0" applyFill="1" applyBorder="1"/>
    <xf numFmtId="9" fontId="0" fillId="0" borderId="1" xfId="0" applyNumberFormat="1" applyBorder="1"/>
    <xf numFmtId="166" fontId="17" fillId="0" borderId="1" xfId="0" applyNumberFormat="1" applyFont="1" applyFill="1" applyBorder="1"/>
    <xf numFmtId="0" fontId="0" fillId="16" borderId="1" xfId="0" applyFill="1" applyBorder="1"/>
    <xf numFmtId="166" fontId="0" fillId="0" borderId="1" xfId="0" applyNumberFormat="1" applyBorder="1"/>
    <xf numFmtId="166" fontId="0" fillId="0" borderId="0" xfId="0" applyNumberFormat="1"/>
    <xf numFmtId="44" fontId="0" fillId="0" borderId="0" xfId="1" applyFont="1"/>
    <xf numFmtId="0" fontId="0" fillId="0" borderId="1" xfId="0" applyBorder="1" applyAlignment="1"/>
    <xf numFmtId="0" fontId="20" fillId="15" borderId="0" xfId="0" applyFont="1" applyFill="1" applyAlignment="1">
      <alignment horizontal="center"/>
    </xf>
    <xf numFmtId="44" fontId="17" fillId="0" borderId="1" xfId="1" applyFont="1" applyFill="1" applyBorder="1"/>
    <xf numFmtId="44" fontId="0" fillId="0" borderId="0" xfId="0" applyNumberFormat="1"/>
    <xf numFmtId="0" fontId="0" fillId="0" borderId="21" xfId="0" applyBorder="1"/>
    <xf numFmtId="166" fontId="0" fillId="0" borderId="21" xfId="0" applyNumberFormat="1" applyBorder="1"/>
    <xf numFmtId="44" fontId="0" fillId="0" borderId="21" xfId="1" applyFont="1" applyBorder="1"/>
    <xf numFmtId="166" fontId="0" fillId="0" borderId="21" xfId="1" applyNumberFormat="1" applyFont="1" applyBorder="1"/>
    <xf numFmtId="44" fontId="19" fillId="0" borderId="21" xfId="1" applyFont="1" applyBorder="1"/>
    <xf numFmtId="0" fontId="20" fillId="2" borderId="0" xfId="0" applyFont="1" applyFill="1" applyAlignment="1">
      <alignment horizontal="center"/>
    </xf>
    <xf numFmtId="0" fontId="17" fillId="2" borderId="0" xfId="0" applyFont="1" applyFill="1" applyBorder="1" applyAlignment="1"/>
    <xf numFmtId="0" fontId="17" fillId="0" borderId="1" xfId="0" applyFont="1" applyFill="1" applyBorder="1" applyAlignment="1">
      <alignment horizontal="center"/>
    </xf>
    <xf numFmtId="0" fontId="17" fillId="0" borderId="54" xfId="0" applyFont="1" applyFill="1" applyBorder="1" applyAlignment="1">
      <alignment horizontal="center"/>
    </xf>
    <xf numFmtId="44" fontId="0" fillId="0" borderId="21" xfId="1" applyFont="1" applyBorder="1" applyAlignment="1">
      <alignment horizontal="center"/>
    </xf>
    <xf numFmtId="0" fontId="2" fillId="9" borderId="1" xfId="0" applyFont="1" applyFill="1" applyBorder="1"/>
    <xf numFmtId="0" fontId="21" fillId="4" borderId="3" xfId="0" applyFont="1" applyFill="1" applyBorder="1"/>
    <xf numFmtId="0" fontId="21" fillId="4" borderId="4" xfId="0" applyFont="1" applyFill="1" applyBorder="1"/>
    <xf numFmtId="0" fontId="0" fillId="4" borderId="4" xfId="0" applyFill="1" applyBorder="1"/>
    <xf numFmtId="0" fontId="0" fillId="5" borderId="4" xfId="0" applyFill="1" applyBorder="1"/>
    <xf numFmtId="0" fontId="0" fillId="4" borderId="5" xfId="0" applyFill="1" applyBorder="1"/>
    <xf numFmtId="0" fontId="13" fillId="9" borderId="36" xfId="0" applyFont="1" applyFill="1" applyBorder="1" applyAlignment="1">
      <alignment horizontal="center"/>
    </xf>
    <xf numFmtId="0" fontId="13" fillId="9" borderId="23" xfId="0" applyFont="1" applyFill="1" applyBorder="1" applyAlignment="1">
      <alignment horizontal="center"/>
    </xf>
    <xf numFmtId="0" fontId="13" fillId="9" borderId="39" xfId="0" applyFont="1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13" fillId="5" borderId="6" xfId="0" applyFont="1" applyFill="1" applyBorder="1" applyAlignment="1">
      <alignment horizontal="center"/>
    </xf>
    <xf numFmtId="0" fontId="13" fillId="5" borderId="22" xfId="0" applyFont="1" applyFill="1" applyBorder="1" applyAlignment="1">
      <alignment horizontal="center"/>
    </xf>
    <xf numFmtId="0" fontId="13" fillId="5" borderId="24" xfId="0" applyFont="1" applyFill="1" applyBorder="1" applyAlignment="1">
      <alignment horizontal="center"/>
    </xf>
    <xf numFmtId="0" fontId="13" fillId="4" borderId="35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3" fillId="4" borderId="25" xfId="0" applyFont="1" applyFill="1" applyBorder="1" applyAlignment="1">
      <alignment horizontal="center"/>
    </xf>
    <xf numFmtId="0" fontId="13" fillId="0" borderId="35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3" fillId="0" borderId="51" xfId="0" applyFont="1" applyBorder="1" applyAlignment="1">
      <alignment horizontal="center"/>
    </xf>
    <xf numFmtId="0" fontId="13" fillId="12" borderId="42" xfId="0" applyFont="1" applyFill="1" applyBorder="1" applyAlignment="1">
      <alignment horizontal="center"/>
    </xf>
    <xf numFmtId="0" fontId="13" fillId="12" borderId="52" xfId="0" applyFont="1" applyFill="1" applyBorder="1" applyAlignment="1">
      <alignment horizontal="center"/>
    </xf>
    <xf numFmtId="0" fontId="0" fillId="0" borderId="53" xfId="0" applyBorder="1" applyAlignment="1">
      <alignment horizontal="center"/>
    </xf>
  </cellXfs>
  <cellStyles count="2">
    <cellStyle name="Moneda" xfId="1" builtinId="4"/>
    <cellStyle name="Normal" xfId="0" builtinId="0"/>
  </cellStyles>
  <dxfs count="30">
    <dxf>
      <fill>
        <patternFill>
          <bgColor theme="2" tint="-9.9948118533890809E-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FF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/>
        <color rgb="FFFFFF0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DESAFIO!$A$2:$A$14</c:f>
              <c:strCache>
                <c:ptCount val="13"/>
                <c:pt idx="0">
                  <c:v>CARBONARA</c:v>
                </c:pt>
                <c:pt idx="1">
                  <c:v>CARNÍVORA</c:v>
                </c:pt>
                <c:pt idx="2">
                  <c:v>DE PIÑA</c:v>
                </c:pt>
                <c:pt idx="3">
                  <c:v>HAWAIANA</c:v>
                </c:pt>
                <c:pt idx="4">
                  <c:v>BARBACOA</c:v>
                </c:pt>
                <c:pt idx="5">
                  <c:v>CUATRO QUESOS</c:v>
                </c:pt>
                <c:pt idx="6">
                  <c:v>JAMON Y QUESO</c:v>
                </c:pt>
                <c:pt idx="7">
                  <c:v>DIAVOLA</c:v>
                </c:pt>
                <c:pt idx="8">
                  <c:v>POLLA A LA PARRILLA</c:v>
                </c:pt>
                <c:pt idx="9">
                  <c:v>PEPPERONO</c:v>
                </c:pt>
                <c:pt idx="10">
                  <c:v>DE ANCHOAS Y AHUMADOS</c:v>
                </c:pt>
                <c:pt idx="11">
                  <c:v>JÁMOS SERRANO</c:v>
                </c:pt>
                <c:pt idx="12">
                  <c:v>MARGARITA</c:v>
                </c:pt>
              </c:strCache>
            </c:strRef>
          </c:cat>
          <c:val>
            <c:numRef>
              <c:f>DESAFIO!$B$2:$B$14</c:f>
              <c:numCache>
                <c:formatCode>General</c:formatCode>
                <c:ptCount val="13"/>
                <c:pt idx="0">
                  <c:v>124</c:v>
                </c:pt>
                <c:pt idx="1">
                  <c:v>178</c:v>
                </c:pt>
                <c:pt idx="2">
                  <c:v>158</c:v>
                </c:pt>
                <c:pt idx="3">
                  <c:v>83</c:v>
                </c:pt>
                <c:pt idx="4">
                  <c:v>53</c:v>
                </c:pt>
                <c:pt idx="5">
                  <c:v>93</c:v>
                </c:pt>
                <c:pt idx="6">
                  <c:v>97</c:v>
                </c:pt>
                <c:pt idx="7">
                  <c:v>164</c:v>
                </c:pt>
                <c:pt idx="8">
                  <c:v>124</c:v>
                </c:pt>
                <c:pt idx="9">
                  <c:v>122</c:v>
                </c:pt>
                <c:pt idx="10">
                  <c:v>156</c:v>
                </c:pt>
                <c:pt idx="11">
                  <c:v>187</c:v>
                </c:pt>
                <c:pt idx="12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95-4C2C-A29A-0B21D1FF81D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DESAFIO!$A$2:$A$14</c:f>
              <c:strCache>
                <c:ptCount val="13"/>
                <c:pt idx="0">
                  <c:v>CARBONARA</c:v>
                </c:pt>
                <c:pt idx="1">
                  <c:v>CARNÍVORA</c:v>
                </c:pt>
                <c:pt idx="2">
                  <c:v>DE PIÑA</c:v>
                </c:pt>
                <c:pt idx="3">
                  <c:v>HAWAIANA</c:v>
                </c:pt>
                <c:pt idx="4">
                  <c:v>BARBACOA</c:v>
                </c:pt>
                <c:pt idx="5">
                  <c:v>CUATRO QUESOS</c:v>
                </c:pt>
                <c:pt idx="6">
                  <c:v>JAMON Y QUESO</c:v>
                </c:pt>
                <c:pt idx="7">
                  <c:v>DIAVOLA</c:v>
                </c:pt>
                <c:pt idx="8">
                  <c:v>POLLA A LA PARRILLA</c:v>
                </c:pt>
                <c:pt idx="9">
                  <c:v>PEPPERONO</c:v>
                </c:pt>
                <c:pt idx="10">
                  <c:v>DE ANCHOAS Y AHUMADOS</c:v>
                </c:pt>
                <c:pt idx="11">
                  <c:v>JÁMOS SERRANO</c:v>
                </c:pt>
                <c:pt idx="12">
                  <c:v>MARGARITA</c:v>
                </c:pt>
              </c:strCache>
            </c:strRef>
          </c:cat>
          <c:val>
            <c:numRef>
              <c:f>DESAFIO!$B$1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95-4C2C-A29A-0B21D1FF8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8722376"/>
        <c:axId val="468723032"/>
      </c:barChart>
      <c:catAx>
        <c:axId val="468722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8723032"/>
        <c:crosses val="autoZero"/>
        <c:auto val="1"/>
        <c:lblAlgn val="ctr"/>
        <c:lblOffset val="100"/>
        <c:noMultiLvlLbl val="0"/>
      </c:catAx>
      <c:valAx>
        <c:axId val="468723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8722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161925</xdr:colOff>
      <xdr:row>0</xdr:row>
      <xdr:rowOff>57150</xdr:rowOff>
    </xdr:from>
    <xdr:to>
      <xdr:col>23</xdr:col>
      <xdr:colOff>161925</xdr:colOff>
      <xdr:row>11</xdr:row>
      <xdr:rowOff>104775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J19"/>
  <sheetViews>
    <sheetView workbookViewId="0">
      <selection activeCell="J1" sqref="J1"/>
    </sheetView>
  </sheetViews>
  <sheetFormatPr baseColWidth="10" defaultRowHeight="14.4" x14ac:dyDescent="0.3"/>
  <sheetData>
    <row r="1" spans="4:10" x14ac:dyDescent="0.3">
      <c r="J1" t="s">
        <v>41</v>
      </c>
    </row>
    <row r="2" spans="4:10" x14ac:dyDescent="0.3">
      <c r="D2">
        <v>1</v>
      </c>
      <c r="E2" t="s">
        <v>12</v>
      </c>
      <c r="F2" t="s">
        <v>0</v>
      </c>
      <c r="G2" s="1">
        <v>43838</v>
      </c>
      <c r="H2" t="s">
        <v>22</v>
      </c>
      <c r="I2" t="s">
        <v>35</v>
      </c>
      <c r="J2" t="s">
        <v>36</v>
      </c>
    </row>
    <row r="3" spans="4:10" x14ac:dyDescent="0.3">
      <c r="D3">
        <v>2</v>
      </c>
      <c r="E3" t="s">
        <v>13</v>
      </c>
      <c r="F3" t="s">
        <v>1</v>
      </c>
      <c r="G3" s="1">
        <v>43839</v>
      </c>
      <c r="H3" t="s">
        <v>19</v>
      </c>
      <c r="J3" t="s">
        <v>37</v>
      </c>
    </row>
    <row r="4" spans="4:10" x14ac:dyDescent="0.3">
      <c r="D4">
        <v>3</v>
      </c>
      <c r="E4" t="s">
        <v>14</v>
      </c>
      <c r="F4" t="s">
        <v>2</v>
      </c>
      <c r="G4" s="1">
        <v>43840</v>
      </c>
      <c r="H4" t="s">
        <v>20</v>
      </c>
      <c r="J4" t="s">
        <v>38</v>
      </c>
    </row>
    <row r="5" spans="4:10" x14ac:dyDescent="0.3">
      <c r="D5">
        <v>4</v>
      </c>
      <c r="E5" t="s">
        <v>15</v>
      </c>
      <c r="F5" t="s">
        <v>3</v>
      </c>
      <c r="G5" s="1">
        <v>43841</v>
      </c>
      <c r="H5" t="s">
        <v>21</v>
      </c>
      <c r="J5" t="s">
        <v>39</v>
      </c>
    </row>
    <row r="6" spans="4:10" x14ac:dyDescent="0.3">
      <c r="D6">
        <v>5</v>
      </c>
      <c r="E6" t="s">
        <v>16</v>
      </c>
      <c r="F6" t="s">
        <v>4</v>
      </c>
      <c r="G6" s="1">
        <v>43842</v>
      </c>
      <c r="H6" t="s">
        <v>23</v>
      </c>
      <c r="J6" t="s">
        <v>40</v>
      </c>
    </row>
    <row r="7" spans="4:10" x14ac:dyDescent="0.3">
      <c r="D7">
        <v>6</v>
      </c>
      <c r="E7" t="s">
        <v>17</v>
      </c>
      <c r="F7" t="s">
        <v>5</v>
      </c>
      <c r="G7" s="1">
        <v>43843</v>
      </c>
      <c r="H7" t="s">
        <v>24</v>
      </c>
      <c r="J7" t="s">
        <v>35</v>
      </c>
    </row>
    <row r="8" spans="4:10" x14ac:dyDescent="0.3">
      <c r="D8">
        <v>7</v>
      </c>
      <c r="E8" t="s">
        <v>18</v>
      </c>
      <c r="F8" t="s">
        <v>6</v>
      </c>
      <c r="G8" s="1">
        <v>43844</v>
      </c>
      <c r="H8" t="s">
        <v>25</v>
      </c>
      <c r="J8" t="s">
        <v>42</v>
      </c>
    </row>
    <row r="9" spans="4:10" x14ac:dyDescent="0.3">
      <c r="D9">
        <v>8</v>
      </c>
      <c r="E9" t="s">
        <v>12</v>
      </c>
      <c r="F9" t="s">
        <v>7</v>
      </c>
      <c r="G9" s="1">
        <v>43845</v>
      </c>
      <c r="H9" t="s">
        <v>26</v>
      </c>
      <c r="J9" t="s">
        <v>43</v>
      </c>
    </row>
    <row r="10" spans="4:10" x14ac:dyDescent="0.3">
      <c r="D10">
        <v>9</v>
      </c>
      <c r="E10" t="s">
        <v>13</v>
      </c>
      <c r="F10" t="s">
        <v>8</v>
      </c>
      <c r="G10" s="1">
        <v>43846</v>
      </c>
      <c r="H10" t="s">
        <v>27</v>
      </c>
    </row>
    <row r="11" spans="4:10" x14ac:dyDescent="0.3">
      <c r="D11">
        <v>10</v>
      </c>
      <c r="E11" t="s">
        <v>14</v>
      </c>
      <c r="F11" t="s">
        <v>9</v>
      </c>
      <c r="G11" s="1">
        <v>43847</v>
      </c>
      <c r="H11" t="s">
        <v>28</v>
      </c>
    </row>
    <row r="12" spans="4:10" x14ac:dyDescent="0.3">
      <c r="D12">
        <v>11</v>
      </c>
      <c r="E12" t="s">
        <v>15</v>
      </c>
      <c r="F12" t="s">
        <v>10</v>
      </c>
      <c r="G12" s="1">
        <v>43848</v>
      </c>
      <c r="H12" t="s">
        <v>20</v>
      </c>
    </row>
    <row r="13" spans="4:10" x14ac:dyDescent="0.3">
      <c r="D13">
        <v>12</v>
      </c>
      <c r="E13" t="s">
        <v>16</v>
      </c>
      <c r="F13" t="s">
        <v>11</v>
      </c>
      <c r="G13" s="1">
        <v>43849</v>
      </c>
      <c r="H13" t="s">
        <v>19</v>
      </c>
    </row>
    <row r="14" spans="4:10" x14ac:dyDescent="0.3">
      <c r="H14" t="s">
        <v>29</v>
      </c>
    </row>
    <row r="15" spans="4:10" x14ac:dyDescent="0.3">
      <c r="H15" t="s">
        <v>30</v>
      </c>
    </row>
    <row r="16" spans="4:10" x14ac:dyDescent="0.3">
      <c r="H16" t="s">
        <v>31</v>
      </c>
    </row>
    <row r="17" spans="8:8" x14ac:dyDescent="0.3">
      <c r="H17" t="s">
        <v>32</v>
      </c>
    </row>
    <row r="18" spans="8:8" x14ac:dyDescent="0.3">
      <c r="H18" t="s">
        <v>33</v>
      </c>
    </row>
    <row r="19" spans="8:8" x14ac:dyDescent="0.3">
      <c r="H1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E14"/>
  <sheetViews>
    <sheetView workbookViewId="0">
      <selection activeCell="J14" sqref="J14"/>
    </sheetView>
  </sheetViews>
  <sheetFormatPr baseColWidth="10" defaultRowHeight="14.4" x14ac:dyDescent="0.3"/>
  <sheetData>
    <row r="1" spans="5:5" x14ac:dyDescent="0.3">
      <c r="E1">
        <v>1</v>
      </c>
    </row>
    <row r="2" spans="5:5" x14ac:dyDescent="0.3">
      <c r="E2">
        <v>2</v>
      </c>
    </row>
    <row r="3" spans="5:5" x14ac:dyDescent="0.3">
      <c r="E3">
        <v>3</v>
      </c>
    </row>
    <row r="4" spans="5:5" x14ac:dyDescent="0.3">
      <c r="E4">
        <v>4</v>
      </c>
    </row>
    <row r="5" spans="5:5" x14ac:dyDescent="0.3">
      <c r="E5">
        <v>5</v>
      </c>
    </row>
    <row r="6" spans="5:5" x14ac:dyDescent="0.3">
      <c r="E6">
        <v>6</v>
      </c>
    </row>
    <row r="7" spans="5:5" x14ac:dyDescent="0.3">
      <c r="E7">
        <v>7</v>
      </c>
    </row>
    <row r="8" spans="5:5" x14ac:dyDescent="0.3">
      <c r="E8">
        <v>8</v>
      </c>
    </row>
    <row r="9" spans="5:5" x14ac:dyDescent="0.3">
      <c r="E9">
        <v>9</v>
      </c>
    </row>
    <row r="10" spans="5:5" x14ac:dyDescent="0.3">
      <c r="E10">
        <v>10</v>
      </c>
    </row>
    <row r="11" spans="5:5" x14ac:dyDescent="0.3">
      <c r="E11">
        <v>11</v>
      </c>
    </row>
    <row r="12" spans="5:5" x14ac:dyDescent="0.3">
      <c r="E12">
        <v>12</v>
      </c>
    </row>
    <row r="13" spans="5:5" x14ac:dyDescent="0.3">
      <c r="E13">
        <v>13</v>
      </c>
    </row>
    <row r="14" spans="5:5" x14ac:dyDescent="0.3">
      <c r="E14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:S24"/>
  <sheetViews>
    <sheetView topLeftCell="C1" workbookViewId="0">
      <selection activeCell="S3" sqref="S3:V4"/>
    </sheetView>
  </sheetViews>
  <sheetFormatPr baseColWidth="10" defaultRowHeight="14.4" x14ac:dyDescent="0.3"/>
  <cols>
    <col min="5" max="5" width="1.6640625" customWidth="1"/>
    <col min="6" max="8" width="11.88671875" style="2" bestFit="1" customWidth="1"/>
    <col min="9" max="10" width="11.44140625" style="2"/>
    <col min="11" max="11" width="1.6640625" style="7" customWidth="1"/>
    <col min="12" max="12" width="4.6640625" customWidth="1"/>
    <col min="13" max="13" width="1.6640625" customWidth="1"/>
    <col min="14" max="14" width="4.6640625" style="2" customWidth="1"/>
    <col min="15" max="15" width="1.6640625" customWidth="1"/>
    <col min="16" max="16" width="4.6640625" customWidth="1"/>
  </cols>
  <sheetData>
    <row r="1" spans="4:19" x14ac:dyDescent="0.3">
      <c r="F1" s="2">
        <v>3</v>
      </c>
      <c r="G1" s="2">
        <v>3</v>
      </c>
      <c r="H1" s="2">
        <v>3</v>
      </c>
      <c r="I1" s="2">
        <v>2</v>
      </c>
      <c r="J1" s="2">
        <v>2</v>
      </c>
    </row>
    <row r="2" spans="4:19" x14ac:dyDescent="0.3">
      <c r="F2" s="5" t="s">
        <v>54</v>
      </c>
      <c r="G2" s="5" t="s">
        <v>55</v>
      </c>
      <c r="H2" s="5" t="s">
        <v>56</v>
      </c>
      <c r="I2" s="5" t="s">
        <v>57</v>
      </c>
      <c r="J2" s="5" t="s">
        <v>58</v>
      </c>
      <c r="K2" s="6"/>
      <c r="L2" s="5" t="s">
        <v>59</v>
      </c>
      <c r="N2" s="9" t="s">
        <v>60</v>
      </c>
      <c r="P2" s="10" t="s">
        <v>61</v>
      </c>
    </row>
    <row r="3" spans="4:19" x14ac:dyDescent="0.3">
      <c r="D3" t="s">
        <v>44</v>
      </c>
      <c r="F3" s="2">
        <v>5.8</v>
      </c>
      <c r="G3" s="2">
        <v>3.6</v>
      </c>
      <c r="H3" s="2">
        <v>5.7</v>
      </c>
      <c r="I3" s="2">
        <v>2.2000000000000002</v>
      </c>
      <c r="J3" s="2">
        <v>8.6</v>
      </c>
      <c r="L3" s="3">
        <f>SUM(F3:J3)/5</f>
        <v>5.18</v>
      </c>
      <c r="N3" s="3">
        <f>(F3*G1+G3*3+H3*3+I3*2+J3*2)/13</f>
        <v>5.1461538461538456</v>
      </c>
      <c r="P3" s="11">
        <f>COUNTIF(F3:J3,"&lt;5")</f>
        <v>2</v>
      </c>
    </row>
    <row r="4" spans="4:19" x14ac:dyDescent="0.3">
      <c r="D4" t="s">
        <v>45</v>
      </c>
      <c r="F4" s="2">
        <v>3.4</v>
      </c>
      <c r="G4" s="2">
        <v>3.2</v>
      </c>
      <c r="H4" s="2">
        <v>4.0999999999999996</v>
      </c>
      <c r="I4" s="2">
        <v>6.6</v>
      </c>
      <c r="J4" s="2">
        <v>4.5999999999999996</v>
      </c>
      <c r="L4" s="3">
        <f t="shared" ref="L4:L12" si="0">SUM(F4:J4)/5</f>
        <v>4.38</v>
      </c>
      <c r="N4" s="3">
        <f t="shared" ref="N4:N11" si="1">MEDIAN(F4*3+G4*3+H4*3+I4*2+J4*2)/13</f>
        <v>4.1923076923076925</v>
      </c>
      <c r="P4" s="11">
        <f t="shared" ref="P4:P12" si="2">COUNTIF(F4:J4,"&lt;5")</f>
        <v>4</v>
      </c>
    </row>
    <row r="5" spans="4:19" x14ac:dyDescent="0.3">
      <c r="D5" t="s">
        <v>46</v>
      </c>
      <c r="F5" s="2">
        <v>4.5</v>
      </c>
      <c r="H5" s="2">
        <v>7.1</v>
      </c>
      <c r="I5" s="2">
        <v>7.2</v>
      </c>
      <c r="J5" s="2">
        <v>8.8000000000000007</v>
      </c>
      <c r="L5" s="3">
        <f t="shared" si="0"/>
        <v>5.5200000000000005</v>
      </c>
      <c r="N5" s="3">
        <f t="shared" si="1"/>
        <v>5.138461538461538</v>
      </c>
      <c r="P5" s="11">
        <f t="shared" si="2"/>
        <v>1</v>
      </c>
    </row>
    <row r="6" spans="4:19" x14ac:dyDescent="0.3">
      <c r="D6" t="s">
        <v>47</v>
      </c>
      <c r="F6" s="2">
        <v>2.2000000000000002</v>
      </c>
      <c r="G6" s="2">
        <v>8.1</v>
      </c>
      <c r="H6" s="2">
        <v>5</v>
      </c>
      <c r="I6" s="2">
        <v>3.8</v>
      </c>
      <c r="J6" s="2">
        <v>9.4</v>
      </c>
      <c r="L6" s="3">
        <f t="shared" si="0"/>
        <v>5.7</v>
      </c>
      <c r="N6" s="3">
        <f t="shared" si="1"/>
        <v>5.5615384615384613</v>
      </c>
      <c r="P6" s="11">
        <f t="shared" si="2"/>
        <v>2</v>
      </c>
    </row>
    <row r="7" spans="4:19" x14ac:dyDescent="0.3">
      <c r="D7" t="s">
        <v>48</v>
      </c>
      <c r="F7" s="2">
        <v>6</v>
      </c>
      <c r="G7" s="2">
        <v>9.1</v>
      </c>
      <c r="H7" s="2">
        <v>10</v>
      </c>
      <c r="I7" s="2">
        <v>4.3</v>
      </c>
      <c r="J7" s="2">
        <v>3</v>
      </c>
      <c r="L7" s="3">
        <f t="shared" si="0"/>
        <v>6.4800000000000013</v>
      </c>
      <c r="N7" s="3">
        <f t="shared" si="1"/>
        <v>6.9153846153846148</v>
      </c>
      <c r="P7" s="11">
        <f t="shared" si="2"/>
        <v>2</v>
      </c>
    </row>
    <row r="8" spans="4:19" x14ac:dyDescent="0.3">
      <c r="D8" t="s">
        <v>49</v>
      </c>
      <c r="F8" s="3">
        <v>7.6</v>
      </c>
      <c r="G8" s="3">
        <v>0.1</v>
      </c>
      <c r="H8" s="3">
        <v>3.6</v>
      </c>
      <c r="I8" s="3">
        <v>6.3</v>
      </c>
      <c r="J8" s="3">
        <v>9.9</v>
      </c>
      <c r="K8" s="8"/>
      <c r="L8" s="3">
        <f t="shared" si="0"/>
        <v>5.5</v>
      </c>
      <c r="N8" s="3">
        <f t="shared" si="1"/>
        <v>5.0999999999999996</v>
      </c>
      <c r="P8" s="11">
        <f t="shared" si="2"/>
        <v>2</v>
      </c>
    </row>
    <row r="9" spans="4:19" x14ac:dyDescent="0.3">
      <c r="D9" t="s">
        <v>50</v>
      </c>
      <c r="F9" s="3">
        <v>2.9</v>
      </c>
      <c r="G9" s="3">
        <v>2.8</v>
      </c>
      <c r="H9" s="3">
        <v>5.2</v>
      </c>
      <c r="I9" s="3">
        <v>5.7</v>
      </c>
      <c r="J9" s="3">
        <v>4</v>
      </c>
      <c r="K9" s="8"/>
      <c r="L9" s="3">
        <f t="shared" si="0"/>
        <v>4.1199999999999992</v>
      </c>
      <c r="N9" s="3">
        <f t="shared" si="1"/>
        <v>4.0076923076923077</v>
      </c>
      <c r="P9" s="11">
        <f t="shared" si="2"/>
        <v>3</v>
      </c>
    </row>
    <row r="10" spans="4:19" x14ac:dyDescent="0.3">
      <c r="D10" t="s">
        <v>51</v>
      </c>
      <c r="F10" s="3">
        <v>0.8</v>
      </c>
      <c r="G10" s="3">
        <v>8.8000000000000007</v>
      </c>
      <c r="H10" s="3">
        <v>9.5</v>
      </c>
      <c r="I10" s="3">
        <v>3.3</v>
      </c>
      <c r="J10" s="3">
        <v>7.8</v>
      </c>
      <c r="K10" s="8"/>
      <c r="L10" s="3">
        <f t="shared" si="0"/>
        <v>6.0400000000000009</v>
      </c>
      <c r="N10" s="3">
        <f t="shared" si="1"/>
        <v>6.115384615384615</v>
      </c>
      <c r="P10" s="11">
        <f t="shared" si="2"/>
        <v>2</v>
      </c>
    </row>
    <row r="11" spans="4:19" x14ac:dyDescent="0.3">
      <c r="D11" t="s">
        <v>52</v>
      </c>
      <c r="F11" s="3">
        <v>3.4</v>
      </c>
      <c r="G11" s="3">
        <v>4.0999999999999996</v>
      </c>
      <c r="H11" s="3">
        <v>6.8</v>
      </c>
      <c r="I11" s="3">
        <v>2.5</v>
      </c>
      <c r="J11" s="3">
        <v>8.3000000000000007</v>
      </c>
      <c r="K11" s="8"/>
      <c r="L11" s="3">
        <f t="shared" si="0"/>
        <v>5.0200000000000005</v>
      </c>
      <c r="N11" s="3">
        <f t="shared" si="1"/>
        <v>4.9615384615384617</v>
      </c>
      <c r="P11" s="11">
        <f t="shared" si="2"/>
        <v>3</v>
      </c>
    </row>
    <row r="12" spans="4:19" x14ac:dyDescent="0.3">
      <c r="D12" t="s">
        <v>53</v>
      </c>
      <c r="F12" s="3">
        <v>3.2</v>
      </c>
      <c r="G12" s="3">
        <v>2.9</v>
      </c>
      <c r="H12" s="3">
        <v>7.8</v>
      </c>
      <c r="I12" s="3">
        <v>5.3</v>
      </c>
      <c r="J12" s="3">
        <v>0.4</v>
      </c>
      <c r="K12" s="8"/>
      <c r="L12" s="3">
        <f t="shared" si="0"/>
        <v>3.9199999999999995</v>
      </c>
      <c r="N12" s="3">
        <f t="shared" ref="N12" si="3">(F12*3+G12*3+H12*3+I12*2+J12*2)/13</f>
        <v>4.0846153846153843</v>
      </c>
      <c r="P12" s="11">
        <f t="shared" si="2"/>
        <v>3</v>
      </c>
    </row>
    <row r="13" spans="4:19" x14ac:dyDescent="0.3">
      <c r="I13" s="4"/>
    </row>
    <row r="14" spans="4:19" x14ac:dyDescent="0.3">
      <c r="G14" s="4"/>
      <c r="I14" s="4"/>
    </row>
    <row r="15" spans="4:19" x14ac:dyDescent="0.3">
      <c r="I15" s="4"/>
      <c r="O15" s="3"/>
      <c r="P15" s="3"/>
      <c r="Q15" s="3"/>
      <c r="R15" s="3"/>
      <c r="S15" s="3"/>
    </row>
    <row r="16" spans="4:19" x14ac:dyDescent="0.3">
      <c r="I16" s="4"/>
      <c r="O16" s="3"/>
      <c r="P16" s="3"/>
      <c r="Q16" s="3"/>
      <c r="R16" s="3"/>
      <c r="S16" s="3"/>
    </row>
    <row r="17" spans="9:19" x14ac:dyDescent="0.3">
      <c r="I17" s="4"/>
      <c r="O17" s="3"/>
      <c r="P17" s="3"/>
      <c r="Q17" s="3"/>
      <c r="R17" s="3"/>
      <c r="S17" s="3"/>
    </row>
    <row r="18" spans="9:19" x14ac:dyDescent="0.3">
      <c r="I18" s="4"/>
      <c r="O18" s="3"/>
      <c r="P18" s="3"/>
      <c r="Q18" s="3"/>
      <c r="R18" s="3"/>
      <c r="S18" s="3"/>
    </row>
    <row r="19" spans="9:19" x14ac:dyDescent="0.3">
      <c r="I19" s="4"/>
      <c r="O19" s="3"/>
      <c r="P19" s="3"/>
      <c r="Q19" s="3"/>
      <c r="R19" s="3"/>
      <c r="S19" s="3"/>
    </row>
    <row r="20" spans="9:19" x14ac:dyDescent="0.3">
      <c r="O20" s="3"/>
      <c r="P20" s="3"/>
      <c r="Q20" s="3"/>
      <c r="R20" s="3"/>
      <c r="S20" s="3"/>
    </row>
    <row r="21" spans="9:19" x14ac:dyDescent="0.3">
      <c r="O21" s="3"/>
      <c r="P21" s="3"/>
      <c r="Q21" s="3"/>
      <c r="R21" s="3"/>
      <c r="S21" s="3"/>
    </row>
    <row r="22" spans="9:19" x14ac:dyDescent="0.3">
      <c r="O22" s="3"/>
      <c r="P22" s="3"/>
      <c r="Q22" s="3"/>
      <c r="R22" s="3"/>
      <c r="S22" s="3"/>
    </row>
    <row r="23" spans="9:19" x14ac:dyDescent="0.3">
      <c r="O23" s="3"/>
      <c r="P23" s="3"/>
      <c r="Q23" s="3"/>
      <c r="R23" s="3"/>
      <c r="S23" s="3"/>
    </row>
    <row r="24" spans="9:19" x14ac:dyDescent="0.3">
      <c r="O24" s="3"/>
      <c r="P24" s="3"/>
      <c r="Q24" s="3"/>
      <c r="R24" s="3"/>
      <c r="S24" s="3"/>
    </row>
  </sheetData>
  <conditionalFormatting sqref="F3:J12 L3:L12">
    <cfRule type="cellIs" dxfId="29" priority="2" operator="greaterThanOrEqual">
      <formula>5</formula>
    </cfRule>
    <cfRule type="cellIs" dxfId="28" priority="3" operator="lessThan">
      <formula>5</formula>
    </cfRule>
  </conditionalFormatting>
  <conditionalFormatting sqref="F2:J12">
    <cfRule type="containsBlanks" dxfId="27" priority="1">
      <formula>LEN(TRIM(F2))=0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D2:Z14"/>
  <sheetViews>
    <sheetView topLeftCell="C1" workbookViewId="0">
      <selection activeCell="I11" sqref="I11"/>
    </sheetView>
  </sheetViews>
  <sheetFormatPr baseColWidth="10" defaultRowHeight="14.4" x14ac:dyDescent="0.3"/>
  <cols>
    <col min="5" max="11" width="3.6640625" customWidth="1"/>
    <col min="12" max="12" width="1.6640625" customWidth="1"/>
    <col min="13" max="14" width="4.6640625" customWidth="1"/>
    <col min="15" max="15" width="1.6640625" customWidth="1"/>
    <col min="16" max="16" width="4.6640625" customWidth="1"/>
    <col min="17" max="17" width="1.6640625" customWidth="1"/>
    <col min="18" max="18" width="4.6640625" customWidth="1"/>
    <col min="19" max="19" width="1.6640625" customWidth="1"/>
    <col min="20" max="20" width="12.44140625" bestFit="1" customWidth="1"/>
    <col min="21" max="21" width="1.6640625" customWidth="1"/>
    <col min="22" max="22" width="4.6640625" customWidth="1"/>
    <col min="23" max="23" width="1.6640625" customWidth="1"/>
    <col min="24" max="24" width="4.6640625" customWidth="1"/>
    <col min="25" max="25" width="1.6640625" customWidth="1"/>
    <col min="26" max="26" width="4.6640625" customWidth="1"/>
    <col min="27" max="27" width="1.6640625" customWidth="1"/>
    <col min="28" max="28" width="4.6640625" customWidth="1"/>
    <col min="29" max="29" width="1.6640625" customWidth="1"/>
  </cols>
  <sheetData>
    <row r="2" spans="4:26" ht="15" thickBot="1" x14ac:dyDescent="0.35"/>
    <row r="3" spans="4:26" ht="55.2" thickTop="1" thickBot="1" x14ac:dyDescent="0.9">
      <c r="E3" s="16" t="s">
        <v>12</v>
      </c>
      <c r="F3" s="16" t="s">
        <v>13</v>
      </c>
      <c r="G3" s="16" t="s">
        <v>14</v>
      </c>
      <c r="H3" s="16" t="s">
        <v>15</v>
      </c>
      <c r="I3" s="16" t="s">
        <v>16</v>
      </c>
      <c r="J3" s="12" t="s">
        <v>17</v>
      </c>
      <c r="K3" s="12" t="s">
        <v>18</v>
      </c>
      <c r="M3" s="15" t="s">
        <v>71</v>
      </c>
      <c r="N3" s="15" t="s">
        <v>72</v>
      </c>
      <c r="P3" s="17" t="s">
        <v>73</v>
      </c>
      <c r="R3" s="18" t="s">
        <v>74</v>
      </c>
      <c r="T3" s="19">
        <v>5</v>
      </c>
      <c r="V3" s="18" t="s">
        <v>75</v>
      </c>
      <c r="X3" s="18" t="s">
        <v>76</v>
      </c>
      <c r="Z3" s="24" t="s">
        <v>77</v>
      </c>
    </row>
    <row r="4" spans="4:26" x14ac:dyDescent="0.3">
      <c r="D4" s="14" t="s">
        <v>62</v>
      </c>
      <c r="E4" s="13">
        <v>14</v>
      </c>
      <c r="F4" s="13">
        <v>5</v>
      </c>
      <c r="G4" s="13">
        <v>4</v>
      </c>
      <c r="H4" s="13">
        <v>6</v>
      </c>
      <c r="I4" s="13"/>
      <c r="J4" s="13">
        <v>7</v>
      </c>
      <c r="K4" s="13"/>
      <c r="M4" s="13">
        <f>SUM(E4:K4)</f>
        <v>36</v>
      </c>
      <c r="N4" s="13">
        <f>SUM(E4:K4)/7</f>
        <v>5.1428571428571432</v>
      </c>
      <c r="O4" s="2"/>
      <c r="P4" s="13">
        <f>SUM(E4:K4)/COUNT(E4:K4)</f>
        <v>7.2</v>
      </c>
      <c r="Q4" s="2"/>
      <c r="R4" s="13">
        <f>COUNTIF(E4:K4,"&gt;=15")</f>
        <v>0</v>
      </c>
      <c r="S4" s="2"/>
      <c r="T4" s="20">
        <v>7</v>
      </c>
      <c r="V4" s="13">
        <f>MAX(E4:K4)</f>
        <v>14</v>
      </c>
      <c r="X4" s="13">
        <f>MIN(E4:K4)</f>
        <v>4</v>
      </c>
      <c r="Z4" s="23" t="e">
        <f>_xlfn.MODE.SNGL(E4:K4)</f>
        <v>#N/A</v>
      </c>
    </row>
    <row r="5" spans="4:26" x14ac:dyDescent="0.3">
      <c r="D5" s="14" t="s">
        <v>63</v>
      </c>
      <c r="E5" s="13">
        <v>7</v>
      </c>
      <c r="F5" s="13">
        <v>10</v>
      </c>
      <c r="G5" s="13"/>
      <c r="H5" s="13">
        <v>2</v>
      </c>
      <c r="I5" s="13"/>
      <c r="J5" s="13">
        <v>19</v>
      </c>
      <c r="K5" s="13">
        <v>13</v>
      </c>
      <c r="M5" s="13">
        <f t="shared" ref="M5:M12" si="0">SUM(E5:K5)</f>
        <v>51</v>
      </c>
      <c r="N5" s="13">
        <f t="shared" ref="N5:N12" si="1">SUM(E5:K5)/7</f>
        <v>7.2857142857142856</v>
      </c>
      <c r="O5" s="2"/>
      <c r="P5" s="13">
        <f t="shared" ref="P5:P12" si="2">SUM(E5:K5)/COUNT(E5:K5)</f>
        <v>10.199999999999999</v>
      </c>
      <c r="Q5" s="2"/>
      <c r="R5" s="13">
        <f t="shared" ref="R5:R12" si="3">COUNTIF(E5:K5,"&gt;=15")</f>
        <v>1</v>
      </c>
      <c r="S5" s="2"/>
      <c r="T5" s="21">
        <f t="shared" ref="T5:T12" si="4">COUNTIF(E5:K5,"&gt;="&amp;$T$3)</f>
        <v>4</v>
      </c>
      <c r="V5" s="13">
        <f t="shared" ref="V5:V12" si="5">MAX(E5:K5)</f>
        <v>19</v>
      </c>
      <c r="X5" s="13">
        <f t="shared" ref="X5:X12" si="6">MIN(E5:K5)</f>
        <v>2</v>
      </c>
      <c r="Z5" s="23" t="e">
        <f t="shared" ref="Z5:Z12" si="7">_xlfn.MODE.SNGL(E5:K5)</f>
        <v>#N/A</v>
      </c>
    </row>
    <row r="6" spans="4:26" x14ac:dyDescent="0.3">
      <c r="D6" s="14" t="s">
        <v>64</v>
      </c>
      <c r="E6" s="13">
        <v>9</v>
      </c>
      <c r="F6" s="13">
        <v>16</v>
      </c>
      <c r="G6" s="13">
        <v>14</v>
      </c>
      <c r="H6" s="13">
        <v>10</v>
      </c>
      <c r="I6" s="13">
        <v>11</v>
      </c>
      <c r="J6" s="13">
        <v>9</v>
      </c>
      <c r="K6" s="13">
        <v>6</v>
      </c>
      <c r="M6" s="13">
        <f t="shared" si="0"/>
        <v>75</v>
      </c>
      <c r="N6" s="13">
        <f t="shared" si="1"/>
        <v>10.714285714285714</v>
      </c>
      <c r="O6" s="2"/>
      <c r="P6" s="13">
        <f t="shared" si="2"/>
        <v>10.714285714285714</v>
      </c>
      <c r="Q6" s="2"/>
      <c r="R6" s="13">
        <f t="shared" si="3"/>
        <v>1</v>
      </c>
      <c r="S6" s="2"/>
      <c r="T6" s="21">
        <f t="shared" si="4"/>
        <v>7</v>
      </c>
      <c r="V6" s="13">
        <f t="shared" si="5"/>
        <v>16</v>
      </c>
      <c r="X6" s="13">
        <f t="shared" si="6"/>
        <v>6</v>
      </c>
      <c r="Z6" s="23">
        <f t="shared" si="7"/>
        <v>9</v>
      </c>
    </row>
    <row r="7" spans="4:26" x14ac:dyDescent="0.3">
      <c r="D7" s="14" t="s">
        <v>65</v>
      </c>
      <c r="E7" s="13">
        <v>6</v>
      </c>
      <c r="F7" s="13">
        <v>2</v>
      </c>
      <c r="G7" s="13">
        <v>2</v>
      </c>
      <c r="H7" s="13">
        <v>3</v>
      </c>
      <c r="I7" s="13">
        <v>13</v>
      </c>
      <c r="J7" s="13"/>
      <c r="K7" s="13"/>
      <c r="M7" s="13">
        <f t="shared" si="0"/>
        <v>26</v>
      </c>
      <c r="N7" s="13">
        <f t="shared" si="1"/>
        <v>3.7142857142857144</v>
      </c>
      <c r="O7" s="2"/>
      <c r="P7" s="13">
        <f t="shared" si="2"/>
        <v>5.2</v>
      </c>
      <c r="Q7" s="2"/>
      <c r="R7" s="13">
        <f t="shared" si="3"/>
        <v>0</v>
      </c>
      <c r="S7" s="2"/>
      <c r="T7" s="21">
        <f t="shared" si="4"/>
        <v>2</v>
      </c>
      <c r="V7" s="13">
        <f t="shared" si="5"/>
        <v>13</v>
      </c>
      <c r="X7" s="13">
        <f t="shared" si="6"/>
        <v>2</v>
      </c>
      <c r="Z7" s="23">
        <f t="shared" si="7"/>
        <v>2</v>
      </c>
    </row>
    <row r="8" spans="4:26" x14ac:dyDescent="0.3">
      <c r="D8" s="14" t="s">
        <v>66</v>
      </c>
      <c r="E8" s="13">
        <v>11</v>
      </c>
      <c r="F8" s="13">
        <v>16</v>
      </c>
      <c r="G8" s="13">
        <v>16</v>
      </c>
      <c r="H8" s="13">
        <v>4</v>
      </c>
      <c r="I8" s="13">
        <v>12</v>
      </c>
      <c r="J8" s="13"/>
      <c r="K8" s="13">
        <v>6</v>
      </c>
      <c r="M8" s="13">
        <f t="shared" si="0"/>
        <v>65</v>
      </c>
      <c r="N8" s="13">
        <f t="shared" si="1"/>
        <v>9.2857142857142865</v>
      </c>
      <c r="O8" s="2"/>
      <c r="P8" s="13">
        <f t="shared" si="2"/>
        <v>10.833333333333334</v>
      </c>
      <c r="Q8" s="2"/>
      <c r="R8" s="13">
        <f t="shared" si="3"/>
        <v>2</v>
      </c>
      <c r="S8" s="2"/>
      <c r="T8" s="21">
        <f t="shared" si="4"/>
        <v>5</v>
      </c>
      <c r="V8" s="13">
        <f t="shared" si="5"/>
        <v>16</v>
      </c>
      <c r="X8" s="13">
        <f t="shared" si="6"/>
        <v>4</v>
      </c>
      <c r="Z8" s="23">
        <f t="shared" si="7"/>
        <v>16</v>
      </c>
    </row>
    <row r="9" spans="4:26" x14ac:dyDescent="0.3">
      <c r="D9" s="14" t="s">
        <v>67</v>
      </c>
      <c r="E9" s="13">
        <v>18</v>
      </c>
      <c r="F9" s="13"/>
      <c r="G9" s="13">
        <v>1</v>
      </c>
      <c r="H9" s="13">
        <v>19</v>
      </c>
      <c r="I9" s="13">
        <v>1</v>
      </c>
      <c r="J9" s="13">
        <v>19</v>
      </c>
      <c r="K9" s="13">
        <v>13</v>
      </c>
      <c r="M9" s="13">
        <f t="shared" si="0"/>
        <v>71</v>
      </c>
      <c r="N9" s="13">
        <f t="shared" si="1"/>
        <v>10.142857142857142</v>
      </c>
      <c r="O9" s="2"/>
      <c r="P9" s="13">
        <f t="shared" si="2"/>
        <v>11.833333333333334</v>
      </c>
      <c r="Q9" s="2"/>
      <c r="R9" s="13">
        <f t="shared" si="3"/>
        <v>3</v>
      </c>
      <c r="S9" s="2"/>
      <c r="T9" s="21">
        <f t="shared" si="4"/>
        <v>4</v>
      </c>
      <c r="V9" s="13">
        <f t="shared" si="5"/>
        <v>19</v>
      </c>
      <c r="X9" s="13">
        <f t="shared" si="6"/>
        <v>1</v>
      </c>
      <c r="Z9" s="23">
        <f t="shared" si="7"/>
        <v>1</v>
      </c>
    </row>
    <row r="10" spans="4:26" x14ac:dyDescent="0.3">
      <c r="D10" s="14" t="s">
        <v>68</v>
      </c>
      <c r="E10" s="13">
        <v>11</v>
      </c>
      <c r="F10" s="13">
        <v>12</v>
      </c>
      <c r="G10" s="13">
        <v>8</v>
      </c>
      <c r="H10" s="13"/>
      <c r="I10" s="13">
        <v>20</v>
      </c>
      <c r="J10" s="13">
        <v>1</v>
      </c>
      <c r="K10" s="13">
        <v>2</v>
      </c>
      <c r="M10" s="13">
        <f t="shared" si="0"/>
        <v>54</v>
      </c>
      <c r="N10" s="13">
        <f t="shared" si="1"/>
        <v>7.7142857142857144</v>
      </c>
      <c r="O10" s="2"/>
      <c r="P10" s="13">
        <f t="shared" si="2"/>
        <v>9</v>
      </c>
      <c r="Q10" s="2"/>
      <c r="R10" s="13">
        <f t="shared" si="3"/>
        <v>1</v>
      </c>
      <c r="S10" s="2"/>
      <c r="T10" s="21">
        <f t="shared" si="4"/>
        <v>4</v>
      </c>
      <c r="V10" s="13">
        <f t="shared" si="5"/>
        <v>20</v>
      </c>
      <c r="X10" s="13">
        <f t="shared" si="6"/>
        <v>1</v>
      </c>
      <c r="Z10" s="23" t="e">
        <f t="shared" si="7"/>
        <v>#N/A</v>
      </c>
    </row>
    <row r="11" spans="4:26" x14ac:dyDescent="0.3">
      <c r="D11" s="14" t="s">
        <v>69</v>
      </c>
      <c r="E11" s="13">
        <v>14</v>
      </c>
      <c r="F11" s="13">
        <v>14</v>
      </c>
      <c r="G11" s="13"/>
      <c r="H11" s="13"/>
      <c r="I11" s="13"/>
      <c r="J11" s="13">
        <v>9</v>
      </c>
      <c r="K11" s="13">
        <v>4</v>
      </c>
      <c r="M11" s="13">
        <f t="shared" si="0"/>
        <v>41</v>
      </c>
      <c r="N11" s="13">
        <f t="shared" si="1"/>
        <v>5.8571428571428568</v>
      </c>
      <c r="O11" s="2"/>
      <c r="P11" s="13">
        <f t="shared" si="2"/>
        <v>10.25</v>
      </c>
      <c r="Q11" s="2"/>
      <c r="R11" s="13">
        <f t="shared" si="3"/>
        <v>0</v>
      </c>
      <c r="S11" s="2"/>
      <c r="T11" s="21">
        <f t="shared" si="4"/>
        <v>3</v>
      </c>
      <c r="V11" s="13">
        <f t="shared" si="5"/>
        <v>14</v>
      </c>
      <c r="X11" s="13">
        <f t="shared" si="6"/>
        <v>4</v>
      </c>
      <c r="Z11" s="23">
        <f t="shared" si="7"/>
        <v>14</v>
      </c>
    </row>
    <row r="12" spans="4:26" ht="15" thickBot="1" x14ac:dyDescent="0.35">
      <c r="D12" s="14" t="s">
        <v>70</v>
      </c>
      <c r="E12" s="13">
        <v>20</v>
      </c>
      <c r="F12" s="13">
        <v>3</v>
      </c>
      <c r="G12" s="13">
        <v>1</v>
      </c>
      <c r="H12" s="13">
        <v>17</v>
      </c>
      <c r="I12" s="13">
        <v>16</v>
      </c>
      <c r="J12" s="13">
        <v>3</v>
      </c>
      <c r="K12" s="13">
        <v>15</v>
      </c>
      <c r="M12" s="13">
        <f t="shared" si="0"/>
        <v>75</v>
      </c>
      <c r="N12" s="13">
        <f t="shared" si="1"/>
        <v>10.714285714285714</v>
      </c>
      <c r="O12" s="2"/>
      <c r="P12" s="13">
        <f t="shared" si="2"/>
        <v>10.714285714285714</v>
      </c>
      <c r="Q12" s="2"/>
      <c r="R12" s="13">
        <f t="shared" si="3"/>
        <v>4</v>
      </c>
      <c r="S12" s="2"/>
      <c r="T12" s="22">
        <f t="shared" si="4"/>
        <v>4</v>
      </c>
      <c r="V12" s="13">
        <f t="shared" si="5"/>
        <v>20</v>
      </c>
      <c r="X12" s="13">
        <f t="shared" si="6"/>
        <v>1</v>
      </c>
      <c r="Z12" s="23">
        <f t="shared" si="7"/>
        <v>3</v>
      </c>
    </row>
    <row r="13" spans="4:26" ht="5.0999999999999996" customHeight="1" x14ac:dyDescent="0.3"/>
    <row r="14" spans="4:26" x14ac:dyDescent="0.3">
      <c r="E14">
        <f>SUM(E4:E12)/COUNT(E4:E12)</f>
        <v>12.222222222222221</v>
      </c>
      <c r="F14">
        <f t="shared" ref="F14:Z14" si="8">SUM(F4:F12)/COUNT(F4:F12)</f>
        <v>9.75</v>
      </c>
      <c r="G14">
        <f t="shared" si="8"/>
        <v>6.5714285714285712</v>
      </c>
      <c r="H14">
        <f t="shared" si="8"/>
        <v>8.7142857142857135</v>
      </c>
      <c r="I14">
        <f t="shared" si="8"/>
        <v>12.166666666666666</v>
      </c>
      <c r="J14">
        <f t="shared" si="8"/>
        <v>9.5714285714285712</v>
      </c>
      <c r="K14">
        <f t="shared" si="8"/>
        <v>8.4285714285714288</v>
      </c>
      <c r="M14">
        <f t="shared" si="8"/>
        <v>54.888888888888886</v>
      </c>
      <c r="N14">
        <f t="shared" si="8"/>
        <v>7.8412698412698409</v>
      </c>
      <c r="P14">
        <f t="shared" si="8"/>
        <v>9.549470899470899</v>
      </c>
      <c r="R14">
        <f t="shared" si="8"/>
        <v>1.3333333333333333</v>
      </c>
      <c r="T14">
        <f t="shared" si="8"/>
        <v>4.4444444444444446</v>
      </c>
      <c r="V14">
        <f t="shared" si="8"/>
        <v>16.777777777777779</v>
      </c>
      <c r="X14">
        <f t="shared" si="8"/>
        <v>2.7777777777777777</v>
      </c>
      <c r="Z14" t="e">
        <f t="shared" si="8"/>
        <v>#N/A</v>
      </c>
    </row>
  </sheetData>
  <conditionalFormatting sqref="E4:K12">
    <cfRule type="containsBlanks" dxfId="26" priority="8">
      <formula>LEN(TRIM(E4))=0</formula>
    </cfRule>
    <cfRule type="cellIs" dxfId="25" priority="10" operator="lessThan">
      <formula>5</formula>
    </cfRule>
    <cfRule type="cellIs" dxfId="24" priority="11" operator="lessThan">
      <formula>10</formula>
    </cfRule>
    <cfRule type="cellIs" dxfId="23" priority="12" operator="lessThan">
      <formula>15</formula>
    </cfRule>
    <cfRule type="cellIs" dxfId="22" priority="14" operator="greaterThanOrEqual">
      <formula>15</formula>
    </cfRule>
  </conditionalFormatting>
  <conditionalFormatting sqref="E4:K4">
    <cfRule type="containsBlanks" dxfId="21" priority="9">
      <formula>LEN(TRIM(E4))=0</formula>
    </cfRule>
  </conditionalFormatting>
  <conditionalFormatting sqref="T4:T12">
    <cfRule type="cellIs" dxfId="20" priority="1" operator="equal">
      <formula>0</formula>
    </cfRule>
    <cfRule type="cellIs" dxfId="19" priority="3" operator="between">
      <formula>2</formula>
      <formula>1</formula>
    </cfRule>
    <cfRule type="cellIs" dxfId="18" priority="4" operator="between">
      <formula>5</formula>
      <formula>3</formula>
    </cfRule>
    <cfRule type="cellIs" dxfId="17" priority="5" operator="between">
      <formula>6</formula>
      <formula>7</formula>
    </cfRule>
    <cfRule type="cellIs" dxfId="16" priority="6" operator="lessThanOrEqual">
      <formula>5</formula>
    </cfRule>
    <cfRule type="cellIs" dxfId="15" priority="7" operator="lessThanOrEqual">
      <formula>7</formula>
    </cfRule>
  </conditionalFormatting>
  <conditionalFormatting sqref="W5">
    <cfRule type="containsBlanks" dxfId="14" priority="2">
      <formula>LEN(TRIM(W5))=0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A1:V30"/>
  <sheetViews>
    <sheetView workbookViewId="0">
      <selection activeCell="A2" sqref="A2:A14"/>
    </sheetView>
  </sheetViews>
  <sheetFormatPr baseColWidth="10" defaultRowHeight="14.4" x14ac:dyDescent="0.3"/>
  <cols>
    <col min="1" max="1" width="40.6640625" customWidth="1"/>
    <col min="2" max="13" width="4.6640625" style="2" customWidth="1"/>
    <col min="14" max="14" width="1.6640625" customWidth="1"/>
    <col min="15" max="15" width="4.6640625" customWidth="1"/>
    <col min="16" max="16" width="1.6640625" customWidth="1"/>
    <col min="17" max="17" width="4.6640625" customWidth="1"/>
  </cols>
  <sheetData>
    <row r="1" spans="1:22" ht="62.4" x14ac:dyDescent="0.3">
      <c r="A1" s="26">
        <v>100</v>
      </c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29" t="s">
        <v>8</v>
      </c>
      <c r="K1" s="29" t="s">
        <v>9</v>
      </c>
      <c r="L1" s="29" t="s">
        <v>10</v>
      </c>
      <c r="M1" s="30" t="s">
        <v>11</v>
      </c>
      <c r="O1" s="31" t="s">
        <v>91</v>
      </c>
    </row>
    <row r="2" spans="1:22" x14ac:dyDescent="0.3">
      <c r="A2" s="27" t="s">
        <v>78</v>
      </c>
      <c r="B2" s="13">
        <v>124</v>
      </c>
      <c r="C2" s="13">
        <v>174</v>
      </c>
      <c r="D2" s="13">
        <v>127</v>
      </c>
      <c r="E2" s="13">
        <v>106</v>
      </c>
      <c r="F2" s="13">
        <v>88</v>
      </c>
      <c r="G2" s="13">
        <v>156</v>
      </c>
      <c r="H2" s="13">
        <v>57</v>
      </c>
      <c r="I2" s="13">
        <v>167</v>
      </c>
      <c r="J2" s="13">
        <v>91</v>
      </c>
      <c r="K2" s="13">
        <v>130</v>
      </c>
      <c r="L2" s="13">
        <v>159</v>
      </c>
      <c r="M2" s="13">
        <v>187</v>
      </c>
      <c r="O2" s="23">
        <f>SUM(B2:M2)/COUNT(B2:M2)</f>
        <v>130.5</v>
      </c>
    </row>
    <row r="3" spans="1:22" x14ac:dyDescent="0.3">
      <c r="A3" s="27" t="s">
        <v>79</v>
      </c>
      <c r="B3" s="13">
        <v>178</v>
      </c>
      <c r="C3" s="13">
        <v>171</v>
      </c>
      <c r="D3" s="13">
        <v>195</v>
      </c>
      <c r="E3" s="13">
        <v>99</v>
      </c>
      <c r="F3" s="13">
        <v>195</v>
      </c>
      <c r="G3" s="13">
        <v>57</v>
      </c>
      <c r="H3" s="13">
        <v>89</v>
      </c>
      <c r="I3" s="13">
        <v>194</v>
      </c>
      <c r="J3" s="13">
        <v>74</v>
      </c>
      <c r="K3" s="13">
        <v>135</v>
      </c>
      <c r="L3" s="13">
        <v>153</v>
      </c>
      <c r="M3" s="13">
        <v>103</v>
      </c>
      <c r="O3" s="23">
        <f t="shared" ref="O3:O14" si="0">SUM(B3:M3)/COUNT(B3:M3)</f>
        <v>136.91666666666666</v>
      </c>
    </row>
    <row r="4" spans="1:22" x14ac:dyDescent="0.3">
      <c r="A4" s="27" t="s">
        <v>80</v>
      </c>
      <c r="B4" s="13">
        <v>158</v>
      </c>
      <c r="C4" s="13">
        <v>64</v>
      </c>
      <c r="D4" s="13">
        <v>122</v>
      </c>
      <c r="E4" s="13">
        <v>50</v>
      </c>
      <c r="F4" s="13">
        <v>107</v>
      </c>
      <c r="G4" s="13">
        <v>76</v>
      </c>
      <c r="H4" s="13">
        <v>102</v>
      </c>
      <c r="I4" s="13">
        <v>152</v>
      </c>
      <c r="J4" s="13">
        <v>82</v>
      </c>
      <c r="K4" s="13">
        <v>171</v>
      </c>
      <c r="L4" s="13">
        <v>165</v>
      </c>
      <c r="M4" s="13">
        <v>192</v>
      </c>
      <c r="O4" s="23">
        <f t="shared" si="0"/>
        <v>120.08333333333333</v>
      </c>
    </row>
    <row r="5" spans="1:22" x14ac:dyDescent="0.3">
      <c r="A5" s="27" t="s">
        <v>81</v>
      </c>
      <c r="B5" s="13">
        <v>83</v>
      </c>
      <c r="C5" s="13">
        <v>97</v>
      </c>
      <c r="D5" s="13">
        <v>152</v>
      </c>
      <c r="E5" s="13">
        <v>105</v>
      </c>
      <c r="F5" s="13">
        <v>99</v>
      </c>
      <c r="G5" s="13">
        <v>144</v>
      </c>
      <c r="H5" s="13">
        <v>191</v>
      </c>
      <c r="I5" s="13">
        <v>58</v>
      </c>
      <c r="J5" s="13">
        <v>60</v>
      </c>
      <c r="K5" s="13">
        <v>164</v>
      </c>
      <c r="L5" s="13">
        <v>106</v>
      </c>
      <c r="M5" s="13">
        <v>197</v>
      </c>
      <c r="O5" s="23">
        <f t="shared" si="0"/>
        <v>121.33333333333333</v>
      </c>
    </row>
    <row r="6" spans="1:22" x14ac:dyDescent="0.3">
      <c r="A6" s="27" t="s">
        <v>82</v>
      </c>
      <c r="B6" s="13">
        <v>53</v>
      </c>
      <c r="C6" s="13">
        <v>94</v>
      </c>
      <c r="D6" s="13">
        <v>66</v>
      </c>
      <c r="E6" s="13">
        <v>135</v>
      </c>
      <c r="F6" s="13">
        <v>65</v>
      </c>
      <c r="G6" s="13">
        <v>60</v>
      </c>
      <c r="H6" s="13">
        <v>64</v>
      </c>
      <c r="I6" s="13">
        <v>59</v>
      </c>
      <c r="J6" s="13">
        <v>66</v>
      </c>
      <c r="K6" s="13">
        <v>139</v>
      </c>
      <c r="L6" s="13">
        <v>159</v>
      </c>
      <c r="M6" s="13">
        <v>119</v>
      </c>
      <c r="O6" s="23">
        <f t="shared" si="0"/>
        <v>89.916666666666671</v>
      </c>
    </row>
    <row r="7" spans="1:22" x14ac:dyDescent="0.3">
      <c r="A7" s="27" t="s">
        <v>83</v>
      </c>
      <c r="B7" s="13">
        <v>93</v>
      </c>
      <c r="C7" s="13">
        <v>101</v>
      </c>
      <c r="D7" s="13">
        <v>102</v>
      </c>
      <c r="E7" s="13">
        <v>155</v>
      </c>
      <c r="F7" s="13">
        <v>114</v>
      </c>
      <c r="G7" s="13">
        <v>127</v>
      </c>
      <c r="H7" s="13">
        <v>129</v>
      </c>
      <c r="I7" s="13">
        <v>126</v>
      </c>
      <c r="J7" s="13">
        <v>178</v>
      </c>
      <c r="K7" s="13">
        <v>102</v>
      </c>
      <c r="L7" s="13">
        <v>178</v>
      </c>
      <c r="M7" s="13">
        <v>132</v>
      </c>
      <c r="O7" s="23">
        <f t="shared" si="0"/>
        <v>128.08333333333334</v>
      </c>
    </row>
    <row r="8" spans="1:22" x14ac:dyDescent="0.3">
      <c r="A8" s="27" t="s">
        <v>84</v>
      </c>
      <c r="B8" s="13">
        <v>97</v>
      </c>
      <c r="C8" s="13">
        <v>117</v>
      </c>
      <c r="D8" s="13">
        <v>166</v>
      </c>
      <c r="E8" s="13">
        <v>182</v>
      </c>
      <c r="F8" s="13">
        <v>114</v>
      </c>
      <c r="G8" s="13">
        <v>130</v>
      </c>
      <c r="H8" s="13">
        <v>103</v>
      </c>
      <c r="I8" s="13">
        <v>64</v>
      </c>
      <c r="J8" s="13">
        <v>173</v>
      </c>
      <c r="K8" s="13">
        <v>91</v>
      </c>
      <c r="L8" s="13">
        <v>190</v>
      </c>
      <c r="M8" s="13">
        <v>148</v>
      </c>
      <c r="O8" s="23">
        <f t="shared" si="0"/>
        <v>131.25</v>
      </c>
    </row>
    <row r="9" spans="1:22" x14ac:dyDescent="0.3">
      <c r="A9" s="27" t="s">
        <v>85</v>
      </c>
      <c r="B9" s="13">
        <v>164</v>
      </c>
      <c r="C9" s="13">
        <v>125</v>
      </c>
      <c r="D9" s="13">
        <v>190</v>
      </c>
      <c r="E9" s="13">
        <v>83</v>
      </c>
      <c r="F9" s="13">
        <v>191</v>
      </c>
      <c r="G9" s="13">
        <v>54</v>
      </c>
      <c r="H9" s="13">
        <v>89</v>
      </c>
      <c r="I9" s="13">
        <v>162</v>
      </c>
      <c r="J9" s="13">
        <v>112</v>
      </c>
      <c r="K9" s="13">
        <v>129</v>
      </c>
      <c r="L9" s="13">
        <v>107</v>
      </c>
      <c r="M9" s="13">
        <v>88</v>
      </c>
      <c r="O9" s="23">
        <f t="shared" si="0"/>
        <v>124.5</v>
      </c>
    </row>
    <row r="10" spans="1:22" x14ac:dyDescent="0.3">
      <c r="A10" s="27" t="s">
        <v>86</v>
      </c>
      <c r="B10" s="13">
        <v>124</v>
      </c>
      <c r="C10" s="13">
        <v>150</v>
      </c>
      <c r="D10" s="13">
        <v>50</v>
      </c>
      <c r="E10" s="13">
        <v>196</v>
      </c>
      <c r="F10" s="13">
        <v>130</v>
      </c>
      <c r="G10" s="13">
        <v>79</v>
      </c>
      <c r="H10" s="13">
        <v>80</v>
      </c>
      <c r="I10" s="13">
        <v>131</v>
      </c>
      <c r="J10" s="13">
        <v>160</v>
      </c>
      <c r="K10" s="13">
        <v>99</v>
      </c>
      <c r="L10" s="13">
        <v>69</v>
      </c>
      <c r="M10" s="13">
        <v>110</v>
      </c>
      <c r="O10" s="23">
        <f t="shared" si="0"/>
        <v>114.83333333333333</v>
      </c>
    </row>
    <row r="11" spans="1:22" x14ac:dyDescent="0.3">
      <c r="A11" s="27" t="s">
        <v>87</v>
      </c>
      <c r="B11" s="13">
        <v>122</v>
      </c>
      <c r="C11" s="13">
        <v>53</v>
      </c>
      <c r="D11" s="13">
        <v>56</v>
      </c>
      <c r="E11" s="13">
        <v>90</v>
      </c>
      <c r="F11" s="13">
        <v>113</v>
      </c>
      <c r="G11" s="13">
        <v>120</v>
      </c>
      <c r="H11" s="13">
        <v>153</v>
      </c>
      <c r="I11" s="13">
        <v>194</v>
      </c>
      <c r="J11" s="13">
        <v>136</v>
      </c>
      <c r="K11" s="13">
        <v>195</v>
      </c>
      <c r="L11" s="13">
        <v>76</v>
      </c>
      <c r="M11" s="13">
        <v>126</v>
      </c>
      <c r="O11" s="23">
        <f t="shared" si="0"/>
        <v>119.5</v>
      </c>
    </row>
    <row r="12" spans="1:22" x14ac:dyDescent="0.3">
      <c r="A12" s="27" t="s">
        <v>88</v>
      </c>
      <c r="B12" s="13">
        <v>156</v>
      </c>
      <c r="C12" s="13">
        <v>185</v>
      </c>
      <c r="D12" s="13">
        <v>166</v>
      </c>
      <c r="E12" s="13">
        <v>110</v>
      </c>
      <c r="F12" s="13">
        <v>106</v>
      </c>
      <c r="G12" s="13">
        <v>69</v>
      </c>
      <c r="H12" s="13">
        <v>81</v>
      </c>
      <c r="I12" s="13">
        <v>110</v>
      </c>
      <c r="J12" s="13">
        <v>73</v>
      </c>
      <c r="K12" s="13">
        <v>85</v>
      </c>
      <c r="L12" s="13">
        <v>168</v>
      </c>
      <c r="M12" s="13">
        <v>138</v>
      </c>
      <c r="O12" s="23">
        <f t="shared" si="0"/>
        <v>120.58333333333333</v>
      </c>
    </row>
    <row r="13" spans="1:22" x14ac:dyDescent="0.3">
      <c r="A13" s="27" t="s">
        <v>89</v>
      </c>
      <c r="B13" s="13">
        <v>187</v>
      </c>
      <c r="C13" s="13">
        <v>53</v>
      </c>
      <c r="D13" s="13">
        <v>145</v>
      </c>
      <c r="E13" s="13">
        <v>86</v>
      </c>
      <c r="F13" s="13">
        <v>51</v>
      </c>
      <c r="G13" s="13">
        <v>63</v>
      </c>
      <c r="H13" s="13">
        <v>121</v>
      </c>
      <c r="I13" s="13">
        <v>157</v>
      </c>
      <c r="J13" s="13">
        <v>99</v>
      </c>
      <c r="K13" s="13">
        <v>64</v>
      </c>
      <c r="L13" s="13">
        <v>126</v>
      </c>
      <c r="M13" s="13">
        <v>164</v>
      </c>
      <c r="O13" s="23">
        <f t="shared" si="0"/>
        <v>109.66666666666667</v>
      </c>
      <c r="T13" s="35"/>
      <c r="U13" s="36"/>
      <c r="V13" s="37"/>
    </row>
    <row r="14" spans="1:22" ht="15" thickBot="1" x14ac:dyDescent="0.35">
      <c r="A14" s="28" t="s">
        <v>90</v>
      </c>
      <c r="B14" s="13">
        <v>51</v>
      </c>
      <c r="C14" s="13">
        <v>52</v>
      </c>
      <c r="D14" s="13">
        <v>111</v>
      </c>
      <c r="E14" s="13">
        <v>152</v>
      </c>
      <c r="F14" s="13">
        <v>59</v>
      </c>
      <c r="G14" s="13">
        <v>178</v>
      </c>
      <c r="H14" s="13">
        <v>59</v>
      </c>
      <c r="I14" s="13">
        <v>69</v>
      </c>
      <c r="J14" s="13">
        <v>134</v>
      </c>
      <c r="K14" s="13">
        <v>179</v>
      </c>
      <c r="L14" s="13">
        <v>155</v>
      </c>
      <c r="M14" s="13">
        <v>57</v>
      </c>
      <c r="O14" s="23">
        <f t="shared" si="0"/>
        <v>104.66666666666667</v>
      </c>
      <c r="T14" s="38"/>
      <c r="U14" s="39"/>
      <c r="V14" s="40"/>
    </row>
    <row r="15" spans="1:22" ht="0.9" customHeight="1" x14ac:dyDescent="0.3">
      <c r="O15" s="32"/>
      <c r="T15" s="38"/>
      <c r="U15" s="39"/>
      <c r="V15" s="40"/>
    </row>
    <row r="16" spans="1:22" ht="9.9" customHeight="1" x14ac:dyDescent="0.3">
      <c r="O16" s="23"/>
      <c r="T16" s="38"/>
      <c r="U16" s="39"/>
      <c r="V16" s="40"/>
    </row>
    <row r="17" spans="1:22" ht="0.9" customHeight="1" x14ac:dyDescent="0.3">
      <c r="O17" s="33"/>
      <c r="T17" s="38"/>
      <c r="U17" s="39"/>
      <c r="V17" s="40"/>
    </row>
    <row r="18" spans="1:22" ht="15" customHeight="1" x14ac:dyDescent="0.3">
      <c r="A18" s="25" t="s">
        <v>72</v>
      </c>
      <c r="B18" s="13">
        <f t="shared" ref="B18:M18" si="1">SUM(B2:B14)/COUNT(B2:B14)</f>
        <v>122.30769230769231</v>
      </c>
      <c r="C18" s="13">
        <f t="shared" si="1"/>
        <v>110.46153846153847</v>
      </c>
      <c r="D18" s="13">
        <f t="shared" si="1"/>
        <v>126.76923076923077</v>
      </c>
      <c r="E18" s="13">
        <f t="shared" si="1"/>
        <v>119.15384615384616</v>
      </c>
      <c r="F18" s="13">
        <f t="shared" si="1"/>
        <v>110.15384615384616</v>
      </c>
      <c r="G18" s="13">
        <f t="shared" si="1"/>
        <v>101</v>
      </c>
      <c r="H18" s="13">
        <f t="shared" si="1"/>
        <v>101.38461538461539</v>
      </c>
      <c r="I18" s="13">
        <f t="shared" si="1"/>
        <v>126.38461538461539</v>
      </c>
      <c r="J18" s="13">
        <f t="shared" si="1"/>
        <v>110.61538461538461</v>
      </c>
      <c r="K18" s="13">
        <f t="shared" si="1"/>
        <v>129.46153846153845</v>
      </c>
      <c r="L18" s="13">
        <f t="shared" si="1"/>
        <v>139.30769230769232</v>
      </c>
      <c r="M18" s="13">
        <f t="shared" si="1"/>
        <v>135.46153846153845</v>
      </c>
      <c r="N18" s="2"/>
      <c r="O18" s="34">
        <f>SUM(O2:O14)/COUNT(O2:O14)</f>
        <v>119.37179487179486</v>
      </c>
      <c r="T18" s="38"/>
      <c r="U18" s="39"/>
      <c r="V18" s="40"/>
    </row>
    <row r="19" spans="1:22" x14ac:dyDescent="0.3">
      <c r="T19" s="38"/>
      <c r="U19" s="39"/>
      <c r="V19" s="40"/>
    </row>
    <row r="20" spans="1:22" x14ac:dyDescent="0.3">
      <c r="T20" s="38"/>
      <c r="U20" s="39"/>
      <c r="V20" s="40"/>
    </row>
    <row r="21" spans="1:22" x14ac:dyDescent="0.3">
      <c r="T21" s="38"/>
      <c r="U21" s="39"/>
      <c r="V21" s="40"/>
    </row>
    <row r="22" spans="1:22" x14ac:dyDescent="0.3">
      <c r="T22" s="38"/>
      <c r="U22" s="39"/>
      <c r="V22" s="40"/>
    </row>
    <row r="23" spans="1:22" x14ac:dyDescent="0.3">
      <c r="T23" s="38"/>
      <c r="U23" s="39"/>
      <c r="V23" s="40"/>
    </row>
    <row r="24" spans="1:22" x14ac:dyDescent="0.3">
      <c r="T24" s="38"/>
      <c r="U24" s="39"/>
      <c r="V24" s="40"/>
    </row>
    <row r="25" spans="1:22" x14ac:dyDescent="0.3">
      <c r="T25" s="38"/>
      <c r="U25" s="39"/>
      <c r="V25" s="40"/>
    </row>
    <row r="26" spans="1:22" x14ac:dyDescent="0.3">
      <c r="T26" s="38"/>
      <c r="U26" s="39"/>
      <c r="V26" s="40"/>
    </row>
    <row r="27" spans="1:22" x14ac:dyDescent="0.3">
      <c r="T27" s="38"/>
      <c r="U27" s="39"/>
      <c r="V27" s="40"/>
    </row>
    <row r="28" spans="1:22" x14ac:dyDescent="0.3">
      <c r="T28" s="38"/>
      <c r="U28" s="39"/>
      <c r="V28" s="40"/>
    </row>
    <row r="29" spans="1:22" x14ac:dyDescent="0.3">
      <c r="T29" s="38"/>
      <c r="U29" s="39"/>
      <c r="V29" s="40"/>
    </row>
    <row r="30" spans="1:22" x14ac:dyDescent="0.3">
      <c r="T30" s="41"/>
      <c r="U30" s="42"/>
      <c r="V30" s="43"/>
    </row>
  </sheetData>
  <conditionalFormatting sqref="B2:M14">
    <cfRule type="cellIs" dxfId="13" priority="1" operator="lessThanOrEqual">
      <formula>$A$1</formula>
    </cfRule>
    <cfRule type="cellIs" dxfId="12" priority="2" operator="greaterThanOrEqual">
      <formula>$A$1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R17"/>
  <sheetViews>
    <sheetView workbookViewId="0">
      <selection activeCell="I3" sqref="I3"/>
    </sheetView>
  </sheetViews>
  <sheetFormatPr baseColWidth="10" defaultRowHeight="14.4" x14ac:dyDescent="0.3"/>
  <cols>
    <col min="3" max="7" width="5.6640625" customWidth="1"/>
    <col min="8" max="8" width="1.6640625" customWidth="1"/>
    <col min="9" max="9" width="5.6640625" customWidth="1"/>
    <col min="10" max="10" width="1.6640625" customWidth="1"/>
    <col min="11" max="11" width="5.6640625" customWidth="1"/>
    <col min="12" max="12" width="1.6640625" customWidth="1"/>
    <col min="13" max="13" width="5.6640625" customWidth="1"/>
    <col min="14" max="14" width="1.6640625" customWidth="1"/>
    <col min="15" max="15" width="10.6640625" customWidth="1"/>
    <col min="16" max="16" width="1.6640625" customWidth="1"/>
    <col min="17" max="17" width="10.6640625" customWidth="1"/>
  </cols>
  <sheetData>
    <row r="1" spans="2:17" ht="15" thickBot="1" x14ac:dyDescent="0.35">
      <c r="C1">
        <v>2</v>
      </c>
      <c r="D1">
        <v>3</v>
      </c>
      <c r="E1">
        <v>2</v>
      </c>
      <c r="F1">
        <v>2</v>
      </c>
      <c r="G1">
        <v>3</v>
      </c>
    </row>
    <row r="2" spans="2:17" ht="57.6" thickBot="1" x14ac:dyDescent="0.35">
      <c r="B2" s="2"/>
      <c r="C2" s="52" t="s">
        <v>102</v>
      </c>
      <c r="D2" s="53" t="s">
        <v>103</v>
      </c>
      <c r="E2" s="53" t="s">
        <v>104</v>
      </c>
      <c r="F2" s="53" t="s">
        <v>105</v>
      </c>
      <c r="G2" s="54" t="s">
        <v>106</v>
      </c>
      <c r="I2" s="63" t="s">
        <v>59</v>
      </c>
      <c r="K2" s="63" t="s">
        <v>60</v>
      </c>
      <c r="M2" s="64" t="s">
        <v>107</v>
      </c>
      <c r="O2" s="56" t="s">
        <v>108</v>
      </c>
      <c r="Q2" s="64" t="s">
        <v>109</v>
      </c>
    </row>
    <row r="3" spans="2:17" ht="15" thickBot="1" x14ac:dyDescent="0.35">
      <c r="B3" s="44" t="s">
        <v>92</v>
      </c>
      <c r="C3" s="50">
        <v>3</v>
      </c>
      <c r="D3" s="50">
        <v>10</v>
      </c>
      <c r="E3" s="50">
        <v>4</v>
      </c>
      <c r="F3" s="50"/>
      <c r="G3" s="51">
        <v>10</v>
      </c>
      <c r="I3" s="61">
        <f>SUM(C3:G3)/COUNT(C3:G3)</f>
        <v>6.75</v>
      </c>
      <c r="K3" s="62">
        <f>(C3*$C$1+D3*$D$1+E3*$E$1+F3*$F$1+G3*$G$1)/SUM($C$1:$G$1)</f>
        <v>6.166666666666667</v>
      </c>
      <c r="M3" s="13">
        <f>SUM(C3:G3)/(5- COUNTBLANK(C2:G2))</f>
        <v>5.4</v>
      </c>
      <c r="O3" s="57" t="str">
        <f>IF(I3&gt;=5,"APTO","NO APTO")</f>
        <v>APTO</v>
      </c>
      <c r="Q3" s="67" t="str">
        <f>IF(2*D3-3*G3&gt;=0,"MAQUINA","PRINGAO")</f>
        <v>PRINGAO</v>
      </c>
    </row>
    <row r="4" spans="2:17" x14ac:dyDescent="0.3">
      <c r="B4" s="45" t="s">
        <v>93</v>
      </c>
      <c r="C4" s="13">
        <v>0</v>
      </c>
      <c r="D4" s="13">
        <v>10</v>
      </c>
      <c r="E4" s="13">
        <v>9</v>
      </c>
      <c r="F4" s="13">
        <v>10</v>
      </c>
      <c r="G4" s="46">
        <v>8</v>
      </c>
      <c r="I4" s="57">
        <f t="shared" ref="I4:I12" si="0">SUM(C4:G4)/COUNT(C4:G4)</f>
        <v>7.4</v>
      </c>
      <c r="K4" s="59">
        <f t="shared" ref="K4:K12" si="1">(C4*$C$1+D4*$D$1+E4*$E$1+F4*$F$1+G4*$G$1)/SUM($C$1:$G$1)</f>
        <v>7.666666666666667</v>
      </c>
      <c r="M4" s="13">
        <f t="shared" ref="M4:M12" si="2">SUM(C4:G4)/(5- COUNTBLANK(C3:G3))</f>
        <v>9.25</v>
      </c>
      <c r="O4" s="57" t="str">
        <f t="shared" ref="O4:O12" si="3">IF(I4&gt;=5,"APTO","NO APTO")</f>
        <v>APTO</v>
      </c>
      <c r="Q4" s="61" t="str">
        <f t="shared" ref="Q4:Q12" si="4">IF(2*D4-3*G4&gt;=0,"MAQUINA","PRINGAO")</f>
        <v>PRINGAO</v>
      </c>
    </row>
    <row r="5" spans="2:17" x14ac:dyDescent="0.3">
      <c r="B5" s="45" t="s">
        <v>94</v>
      </c>
      <c r="C5" s="13">
        <v>4</v>
      </c>
      <c r="D5" s="13">
        <v>2</v>
      </c>
      <c r="E5" s="13">
        <v>0</v>
      </c>
      <c r="F5" s="13">
        <v>1</v>
      </c>
      <c r="G5" s="46">
        <v>7</v>
      </c>
      <c r="I5" s="57">
        <f t="shared" si="0"/>
        <v>2.8</v>
      </c>
      <c r="K5" s="59">
        <f t="shared" si="1"/>
        <v>3.0833333333333335</v>
      </c>
      <c r="M5" s="13">
        <f t="shared" si="2"/>
        <v>2.8</v>
      </c>
      <c r="O5" s="57" t="str">
        <f t="shared" si="3"/>
        <v>NO APTO</v>
      </c>
      <c r="Q5" s="57" t="str">
        <f t="shared" si="4"/>
        <v>PRINGAO</v>
      </c>
    </row>
    <row r="6" spans="2:17" x14ac:dyDescent="0.3">
      <c r="B6" s="45" t="s">
        <v>95</v>
      </c>
      <c r="C6" s="13">
        <v>4</v>
      </c>
      <c r="D6" s="13">
        <v>7</v>
      </c>
      <c r="E6" s="13">
        <v>6</v>
      </c>
      <c r="F6" s="13">
        <v>6</v>
      </c>
      <c r="G6" s="46">
        <v>4</v>
      </c>
      <c r="I6" s="57">
        <f t="shared" si="0"/>
        <v>5.4</v>
      </c>
      <c r="K6" s="59">
        <f t="shared" si="1"/>
        <v>5.416666666666667</v>
      </c>
      <c r="M6" s="13">
        <f t="shared" si="2"/>
        <v>5.4</v>
      </c>
      <c r="O6" s="57" t="str">
        <f t="shared" si="3"/>
        <v>APTO</v>
      </c>
      <c r="Q6" s="57" t="str">
        <f t="shared" si="4"/>
        <v>MAQUINA</v>
      </c>
    </row>
    <row r="7" spans="2:17" x14ac:dyDescent="0.3">
      <c r="B7" s="45" t="s">
        <v>96</v>
      </c>
      <c r="C7" s="13">
        <v>0</v>
      </c>
      <c r="D7" s="13">
        <v>9</v>
      </c>
      <c r="E7" s="13">
        <v>3</v>
      </c>
      <c r="F7" s="13">
        <v>0</v>
      </c>
      <c r="G7" s="46">
        <v>9</v>
      </c>
      <c r="I7" s="57">
        <f t="shared" si="0"/>
        <v>4.2</v>
      </c>
      <c r="K7" s="59">
        <f t="shared" si="1"/>
        <v>5</v>
      </c>
      <c r="M7" s="13">
        <f t="shared" si="2"/>
        <v>4.2</v>
      </c>
      <c r="O7" s="57" t="str">
        <f t="shared" si="3"/>
        <v>NO APTO</v>
      </c>
      <c r="Q7" s="57" t="str">
        <f t="shared" si="4"/>
        <v>PRINGAO</v>
      </c>
    </row>
    <row r="8" spans="2:17" x14ac:dyDescent="0.3">
      <c r="B8" s="45" t="s">
        <v>97</v>
      </c>
      <c r="C8" s="13">
        <v>9</v>
      </c>
      <c r="D8" s="13">
        <v>10</v>
      </c>
      <c r="E8" s="13">
        <v>8</v>
      </c>
      <c r="F8" s="13">
        <v>0</v>
      </c>
      <c r="G8" s="46">
        <v>2</v>
      </c>
      <c r="I8" s="57">
        <f t="shared" si="0"/>
        <v>5.8</v>
      </c>
      <c r="K8" s="59">
        <f t="shared" si="1"/>
        <v>5.833333333333333</v>
      </c>
      <c r="M8" s="13">
        <f t="shared" si="2"/>
        <v>5.8</v>
      </c>
      <c r="O8" s="57" t="str">
        <f t="shared" si="3"/>
        <v>APTO</v>
      </c>
      <c r="Q8" s="57" t="str">
        <f t="shared" si="4"/>
        <v>MAQUINA</v>
      </c>
    </row>
    <row r="9" spans="2:17" x14ac:dyDescent="0.3">
      <c r="B9" s="45" t="s">
        <v>98</v>
      </c>
      <c r="C9" s="13">
        <v>9</v>
      </c>
      <c r="D9" s="13">
        <v>7</v>
      </c>
      <c r="E9" s="13">
        <v>3</v>
      </c>
      <c r="F9" s="13">
        <v>9</v>
      </c>
      <c r="G9" s="46">
        <v>2</v>
      </c>
      <c r="I9" s="57">
        <f t="shared" si="0"/>
        <v>6</v>
      </c>
      <c r="K9" s="59">
        <f t="shared" si="1"/>
        <v>5.75</v>
      </c>
      <c r="M9" s="13">
        <f t="shared" si="2"/>
        <v>6</v>
      </c>
      <c r="O9" s="57" t="str">
        <f t="shared" si="3"/>
        <v>APTO</v>
      </c>
      <c r="Q9" s="57" t="str">
        <f t="shared" si="4"/>
        <v>MAQUINA</v>
      </c>
    </row>
    <row r="10" spans="2:17" x14ac:dyDescent="0.3">
      <c r="B10" s="45" t="s">
        <v>99</v>
      </c>
      <c r="C10" s="13">
        <v>7</v>
      </c>
      <c r="D10" s="13">
        <v>6</v>
      </c>
      <c r="E10" s="13">
        <v>4</v>
      </c>
      <c r="F10" s="13">
        <v>6</v>
      </c>
      <c r="G10" s="46">
        <v>2</v>
      </c>
      <c r="I10" s="57">
        <f t="shared" si="0"/>
        <v>5</v>
      </c>
      <c r="K10" s="59">
        <f t="shared" si="1"/>
        <v>4.833333333333333</v>
      </c>
      <c r="M10" s="13">
        <f t="shared" si="2"/>
        <v>5</v>
      </c>
      <c r="O10" s="57" t="str">
        <f t="shared" si="3"/>
        <v>APTO</v>
      </c>
      <c r="Q10" s="57" t="str">
        <f t="shared" si="4"/>
        <v>MAQUINA</v>
      </c>
    </row>
    <row r="11" spans="2:17" x14ac:dyDescent="0.3">
      <c r="B11" s="45" t="s">
        <v>100</v>
      </c>
      <c r="C11" s="13">
        <v>2</v>
      </c>
      <c r="D11" s="13">
        <v>3</v>
      </c>
      <c r="E11" s="13">
        <v>5</v>
      </c>
      <c r="F11" s="13">
        <v>3</v>
      </c>
      <c r="G11" s="46">
        <v>9</v>
      </c>
      <c r="I11" s="57">
        <f t="shared" si="0"/>
        <v>4.4000000000000004</v>
      </c>
      <c r="K11" s="59">
        <f t="shared" si="1"/>
        <v>4.666666666666667</v>
      </c>
      <c r="M11" s="13">
        <f t="shared" si="2"/>
        <v>4.4000000000000004</v>
      </c>
      <c r="O11" s="57" t="str">
        <f t="shared" si="3"/>
        <v>NO APTO</v>
      </c>
      <c r="Q11" s="57" t="str">
        <f t="shared" si="4"/>
        <v>PRINGAO</v>
      </c>
    </row>
    <row r="12" spans="2:17" ht="15" thickBot="1" x14ac:dyDescent="0.35">
      <c r="B12" s="47" t="s">
        <v>101</v>
      </c>
      <c r="C12" s="48">
        <v>3</v>
      </c>
      <c r="D12" s="48">
        <v>0</v>
      </c>
      <c r="E12" s="48">
        <v>2</v>
      </c>
      <c r="F12" s="48">
        <v>3</v>
      </c>
      <c r="G12" s="49">
        <v>8</v>
      </c>
      <c r="I12" s="58">
        <f t="shared" si="0"/>
        <v>3.2</v>
      </c>
      <c r="K12" s="60">
        <f t="shared" si="1"/>
        <v>3.3333333333333335</v>
      </c>
      <c r="M12" s="13">
        <f t="shared" si="2"/>
        <v>3.2</v>
      </c>
      <c r="O12" s="58" t="str">
        <f t="shared" si="3"/>
        <v>NO APTO</v>
      </c>
      <c r="Q12" s="58" t="str">
        <f t="shared" si="4"/>
        <v>PRINGAO</v>
      </c>
    </row>
    <row r="13" spans="2:17" ht="5.0999999999999996" customHeight="1" thickBot="1" x14ac:dyDescent="0.35"/>
    <row r="14" spans="2:17" ht="15" thickBot="1" x14ac:dyDescent="0.35">
      <c r="C14" s="66">
        <f>SUM(C3:C12)/COUNT(C3:C12)</f>
        <v>4.0999999999999996</v>
      </c>
      <c r="D14" s="66">
        <f t="shared" ref="D14:M14" si="5">SUM(D3:D12)/COUNT(D3:D12)</f>
        <v>6.4</v>
      </c>
      <c r="E14" s="66">
        <f t="shared" si="5"/>
        <v>4.4000000000000004</v>
      </c>
      <c r="F14" s="66">
        <f t="shared" si="5"/>
        <v>4.2222222222222223</v>
      </c>
      <c r="G14" s="66">
        <f t="shared" si="5"/>
        <v>6.1</v>
      </c>
      <c r="H14" s="55"/>
      <c r="I14" s="65">
        <f t="shared" si="5"/>
        <v>5.0950000000000006</v>
      </c>
      <c r="J14" s="55"/>
      <c r="K14" s="65">
        <f t="shared" si="5"/>
        <v>5.1750000000000007</v>
      </c>
      <c r="L14" s="55"/>
      <c r="M14" s="65">
        <f t="shared" si="5"/>
        <v>5.1450000000000005</v>
      </c>
    </row>
    <row r="17" spans="18:18" x14ac:dyDescent="0.3">
      <c r="R17" t="s">
        <v>110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2:O22"/>
  <sheetViews>
    <sheetView workbookViewId="0">
      <selection activeCell="H4" sqref="H4"/>
    </sheetView>
  </sheetViews>
  <sheetFormatPr baseColWidth="10" defaultRowHeight="14.4" x14ac:dyDescent="0.3"/>
  <cols>
    <col min="2" max="6" width="4.6640625" style="2" customWidth="1"/>
    <col min="8" max="8" width="11.88671875" bestFit="1" customWidth="1"/>
    <col min="11" max="15" width="11.44140625" customWidth="1"/>
  </cols>
  <sheetData>
    <row r="2" spans="1:15" x14ac:dyDescent="0.3">
      <c r="A2" t="s">
        <v>111</v>
      </c>
      <c r="B2" s="2" t="s">
        <v>120</v>
      </c>
      <c r="C2" s="2" t="s">
        <v>120</v>
      </c>
      <c r="D2" s="2" t="s">
        <v>121</v>
      </c>
      <c r="E2" s="2" t="s">
        <v>121</v>
      </c>
      <c r="F2" s="2" t="s">
        <v>122</v>
      </c>
    </row>
    <row r="3" spans="1:15" x14ac:dyDescent="0.3">
      <c r="A3" t="s">
        <v>112</v>
      </c>
      <c r="B3" s="2" t="s">
        <v>120</v>
      </c>
      <c r="C3" s="2" t="s">
        <v>121</v>
      </c>
      <c r="D3" s="2" t="s">
        <v>121</v>
      </c>
      <c r="E3" s="2" t="s">
        <v>120</v>
      </c>
      <c r="F3" s="2" t="s">
        <v>120</v>
      </c>
      <c r="H3" t="str">
        <f t="shared" ref="H3:H10" si="0">IF(COUNTIF(B3:F3,"V")&gt;COUNTIF(B3:F3,"D"),"CALIENTE",IF(COUNTIF(B3:F3,"V")=COUNTIF(B3:F3,"D"),"TEMPLADO","FRIO"))</f>
        <v>CALIENTE</v>
      </c>
    </row>
    <row r="4" spans="1:15" x14ac:dyDescent="0.3">
      <c r="A4" t="s">
        <v>113</v>
      </c>
      <c r="B4" s="2" t="s">
        <v>121</v>
      </c>
      <c r="C4" s="2" t="s">
        <v>120</v>
      </c>
      <c r="D4" s="2" t="s">
        <v>120</v>
      </c>
      <c r="E4" s="2" t="s">
        <v>121</v>
      </c>
      <c r="F4" s="2" t="s">
        <v>120</v>
      </c>
      <c r="H4" t="str">
        <f t="shared" si="0"/>
        <v>CALIENTE</v>
      </c>
    </row>
    <row r="5" spans="1:15" x14ac:dyDescent="0.3">
      <c r="A5" t="s">
        <v>114</v>
      </c>
      <c r="B5" s="2" t="s">
        <v>121</v>
      </c>
      <c r="C5" s="2" t="s">
        <v>120</v>
      </c>
      <c r="D5" s="2" t="s">
        <v>122</v>
      </c>
      <c r="E5" s="2" t="s">
        <v>121</v>
      </c>
      <c r="F5" s="2" t="s">
        <v>120</v>
      </c>
      <c r="H5" t="str">
        <f t="shared" si="0"/>
        <v>TEMPLADO</v>
      </c>
    </row>
    <row r="6" spans="1:15" x14ac:dyDescent="0.3">
      <c r="A6" t="s">
        <v>115</v>
      </c>
      <c r="B6" s="2" t="s">
        <v>121</v>
      </c>
      <c r="C6" s="2" t="s">
        <v>120</v>
      </c>
      <c r="D6" s="2" t="s">
        <v>121</v>
      </c>
      <c r="E6" s="2" t="s">
        <v>122</v>
      </c>
      <c r="F6" s="2" t="s">
        <v>120</v>
      </c>
      <c r="H6" t="str">
        <f t="shared" si="0"/>
        <v>TEMPLADO</v>
      </c>
    </row>
    <row r="7" spans="1:15" x14ac:dyDescent="0.3">
      <c r="A7" t="s">
        <v>116</v>
      </c>
      <c r="B7" s="2" t="s">
        <v>120</v>
      </c>
      <c r="C7" s="2" t="s">
        <v>120</v>
      </c>
      <c r="D7" s="2" t="s">
        <v>122</v>
      </c>
      <c r="E7" s="2" t="s">
        <v>120</v>
      </c>
      <c r="F7" s="2" t="s">
        <v>122</v>
      </c>
      <c r="H7" t="str">
        <f t="shared" si="0"/>
        <v>CALIENTE</v>
      </c>
    </row>
    <row r="8" spans="1:15" x14ac:dyDescent="0.3">
      <c r="A8" t="s">
        <v>117</v>
      </c>
      <c r="B8" s="2" t="s">
        <v>120</v>
      </c>
      <c r="C8" s="2" t="s">
        <v>122</v>
      </c>
      <c r="D8" s="2" t="s">
        <v>120</v>
      </c>
      <c r="E8" s="2" t="s">
        <v>121</v>
      </c>
      <c r="F8" s="2" t="s">
        <v>120</v>
      </c>
      <c r="H8" t="str">
        <f t="shared" si="0"/>
        <v>CALIENTE</v>
      </c>
    </row>
    <row r="9" spans="1:15" x14ac:dyDescent="0.3">
      <c r="A9" t="s">
        <v>118</v>
      </c>
      <c r="B9" s="2" t="s">
        <v>120</v>
      </c>
      <c r="C9" s="2" t="s">
        <v>120</v>
      </c>
      <c r="D9" s="2" t="s">
        <v>122</v>
      </c>
      <c r="E9" s="2" t="s">
        <v>122</v>
      </c>
      <c r="F9" s="2" t="s">
        <v>120</v>
      </c>
      <c r="H9" t="str">
        <f t="shared" si="0"/>
        <v>CALIENTE</v>
      </c>
    </row>
    <row r="10" spans="1:15" x14ac:dyDescent="0.3">
      <c r="A10" t="s">
        <v>119</v>
      </c>
      <c r="B10" s="2" t="s">
        <v>122</v>
      </c>
      <c r="C10" s="2" t="s">
        <v>120</v>
      </c>
      <c r="D10" s="2" t="s">
        <v>122</v>
      </c>
      <c r="E10" s="2" t="s">
        <v>122</v>
      </c>
      <c r="F10" s="2" t="s">
        <v>120</v>
      </c>
      <c r="H10" t="str">
        <f t="shared" si="0"/>
        <v>CALIENTE</v>
      </c>
    </row>
    <row r="13" spans="1:15" x14ac:dyDescent="0.3">
      <c r="K13">
        <f ca="1">RANDBETWEEN(1,3)</f>
        <v>2</v>
      </c>
      <c r="L13">
        <f t="shared" ref="L13:O22" ca="1" si="1">RANDBETWEEN(1,3)</f>
        <v>3</v>
      </c>
      <c r="M13">
        <f t="shared" ca="1" si="1"/>
        <v>3</v>
      </c>
      <c r="N13">
        <f t="shared" ca="1" si="1"/>
        <v>3</v>
      </c>
      <c r="O13">
        <f t="shared" ca="1" si="1"/>
        <v>3</v>
      </c>
    </row>
    <row r="14" spans="1:15" x14ac:dyDescent="0.3">
      <c r="K14">
        <f t="shared" ref="K14:K22" ca="1" si="2">RANDBETWEEN(1,3)</f>
        <v>3</v>
      </c>
      <c r="L14">
        <f t="shared" ca="1" si="1"/>
        <v>3</v>
      </c>
      <c r="M14">
        <f t="shared" ca="1" si="1"/>
        <v>3</v>
      </c>
      <c r="N14">
        <f t="shared" ca="1" si="1"/>
        <v>1</v>
      </c>
      <c r="O14">
        <f t="shared" ca="1" si="1"/>
        <v>2</v>
      </c>
    </row>
    <row r="15" spans="1:15" x14ac:dyDescent="0.3">
      <c r="K15">
        <f t="shared" ca="1" si="2"/>
        <v>3</v>
      </c>
      <c r="L15">
        <f t="shared" ca="1" si="1"/>
        <v>3</v>
      </c>
      <c r="M15">
        <f t="shared" ca="1" si="1"/>
        <v>1</v>
      </c>
      <c r="N15">
        <f t="shared" ca="1" si="1"/>
        <v>2</v>
      </c>
      <c r="O15">
        <f t="shared" ca="1" si="1"/>
        <v>1</v>
      </c>
    </row>
    <row r="16" spans="1:15" x14ac:dyDescent="0.3">
      <c r="K16">
        <f t="shared" ca="1" si="2"/>
        <v>2</v>
      </c>
      <c r="L16">
        <f t="shared" ca="1" si="1"/>
        <v>3</v>
      </c>
      <c r="M16">
        <f t="shared" ca="1" si="1"/>
        <v>3</v>
      </c>
      <c r="N16">
        <f t="shared" ca="1" si="1"/>
        <v>2</v>
      </c>
      <c r="O16">
        <f t="shared" ca="1" si="1"/>
        <v>1</v>
      </c>
    </row>
    <row r="17" spans="11:15" x14ac:dyDescent="0.3">
      <c r="K17">
        <f t="shared" ref="K17:O18" ca="1" si="3">RANDBETWEEN(1,3)</f>
        <v>1</v>
      </c>
      <c r="L17">
        <f t="shared" ca="1" si="3"/>
        <v>2</v>
      </c>
      <c r="M17">
        <f t="shared" ca="1" si="3"/>
        <v>3</v>
      </c>
      <c r="N17">
        <f t="shared" ca="1" si="3"/>
        <v>2</v>
      </c>
      <c r="O17">
        <f t="shared" ca="1" si="3"/>
        <v>3</v>
      </c>
    </row>
    <row r="18" spans="11:15" x14ac:dyDescent="0.3">
      <c r="K18">
        <f t="shared" ca="1" si="3"/>
        <v>2</v>
      </c>
      <c r="L18">
        <f t="shared" ca="1" si="3"/>
        <v>2</v>
      </c>
      <c r="M18">
        <f t="shared" ca="1" si="3"/>
        <v>1</v>
      </c>
      <c r="N18">
        <f t="shared" ca="1" si="3"/>
        <v>2</v>
      </c>
      <c r="O18">
        <f t="shared" ca="1" si="3"/>
        <v>3</v>
      </c>
    </row>
    <row r="19" spans="11:15" x14ac:dyDescent="0.3">
      <c r="K19">
        <f t="shared" ca="1" si="2"/>
        <v>2</v>
      </c>
      <c r="L19">
        <f t="shared" ca="1" si="1"/>
        <v>1</v>
      </c>
      <c r="M19">
        <f t="shared" ca="1" si="1"/>
        <v>1</v>
      </c>
      <c r="N19">
        <f t="shared" ca="1" si="1"/>
        <v>1</v>
      </c>
      <c r="O19">
        <f t="shared" ca="1" si="1"/>
        <v>1</v>
      </c>
    </row>
    <row r="20" spans="11:15" x14ac:dyDescent="0.3">
      <c r="K20">
        <f t="shared" ca="1" si="2"/>
        <v>3</v>
      </c>
      <c r="L20">
        <f t="shared" ca="1" si="1"/>
        <v>2</v>
      </c>
      <c r="M20">
        <f t="shared" ca="1" si="1"/>
        <v>1</v>
      </c>
      <c r="N20">
        <f t="shared" ca="1" si="1"/>
        <v>1</v>
      </c>
      <c r="O20">
        <f t="shared" ca="1" si="1"/>
        <v>2</v>
      </c>
    </row>
    <row r="21" spans="11:15" x14ac:dyDescent="0.3">
      <c r="K21">
        <f t="shared" ca="1" si="2"/>
        <v>1</v>
      </c>
      <c r="L21">
        <f t="shared" ca="1" si="1"/>
        <v>2</v>
      </c>
      <c r="M21">
        <f t="shared" ca="1" si="1"/>
        <v>3</v>
      </c>
      <c r="N21">
        <f t="shared" ca="1" si="1"/>
        <v>3</v>
      </c>
      <c r="O21">
        <f t="shared" ca="1" si="1"/>
        <v>2</v>
      </c>
    </row>
    <row r="22" spans="11:15" x14ac:dyDescent="0.3">
      <c r="K22">
        <f t="shared" ca="1" si="2"/>
        <v>3</v>
      </c>
      <c r="L22">
        <f t="shared" ca="1" si="1"/>
        <v>2</v>
      </c>
      <c r="M22">
        <f t="shared" ca="1" si="1"/>
        <v>2</v>
      </c>
      <c r="N22">
        <f t="shared" ca="1" si="1"/>
        <v>2</v>
      </c>
      <c r="O22">
        <f t="shared" ca="1" si="1"/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6"/>
  <sheetViews>
    <sheetView workbookViewId="0">
      <selection activeCell="N2" sqref="N2"/>
    </sheetView>
  </sheetViews>
  <sheetFormatPr baseColWidth="10" defaultRowHeight="14.4" x14ac:dyDescent="0.3"/>
  <cols>
    <col min="2" max="6" width="6.6640625" customWidth="1"/>
    <col min="7" max="7" width="0.88671875" customWidth="1"/>
    <col min="9" max="9" width="0.88671875" customWidth="1"/>
    <col min="10" max="10" width="21.5546875" customWidth="1"/>
    <col min="11" max="11" width="0.88671875" customWidth="1"/>
    <col min="12" max="12" width="22.88671875" customWidth="1"/>
    <col min="13" max="13" width="0.88671875" customWidth="1"/>
    <col min="14" max="14" width="21.33203125" customWidth="1"/>
  </cols>
  <sheetData>
    <row r="1" spans="1:14" x14ac:dyDescent="0.3">
      <c r="A1" s="69"/>
      <c r="B1" s="70" t="s">
        <v>54</v>
      </c>
      <c r="C1" s="70" t="s">
        <v>55</v>
      </c>
      <c r="D1" s="70" t="s">
        <v>56</v>
      </c>
      <c r="E1" s="70" t="s">
        <v>57</v>
      </c>
      <c r="F1" s="70" t="s">
        <v>58</v>
      </c>
      <c r="G1" s="70"/>
      <c r="H1" s="70" t="s">
        <v>72</v>
      </c>
      <c r="I1" s="71"/>
      <c r="J1" s="72" t="s">
        <v>133</v>
      </c>
      <c r="L1" s="76" t="s">
        <v>134</v>
      </c>
      <c r="N1" t="s">
        <v>135</v>
      </c>
    </row>
    <row r="2" spans="1:14" x14ac:dyDescent="0.3">
      <c r="A2" s="73" t="s">
        <v>123</v>
      </c>
      <c r="B2" s="13">
        <v>9</v>
      </c>
      <c r="C2" s="13">
        <v>1.9</v>
      </c>
      <c r="D2" s="13">
        <v>0.6</v>
      </c>
      <c r="E2" s="13">
        <v>8.3000000000000007</v>
      </c>
      <c r="F2" s="13">
        <v>4.4000000000000004</v>
      </c>
      <c r="G2" s="13"/>
      <c r="H2" s="13">
        <f>SUM(B2:F2)/5</f>
        <v>4.8400000000000007</v>
      </c>
      <c r="I2" s="13"/>
      <c r="J2" s="46" t="str">
        <f>IF(H2&lt;=5,"INSUFICIENTE",IF(H2&lt;6,"SUFICIENTE",IF(H2&lt;7,"BIEN",IF(H2&lt;9,"NOTABLE",IF(H2&lt;10,"SOBRESALIENTE",IF(H2=10,"MATRICULA DE HONOR"))))))</f>
        <v>INSUFICIENTE</v>
      </c>
      <c r="L2" s="57" t="str">
        <f>IF(B2&gt;C2,"CIENCIAS",IF(B2&lt;C2,"LETRAS",IF(B2=C2,"")))</f>
        <v>CIENCIAS</v>
      </c>
    </row>
    <row r="3" spans="1:14" x14ac:dyDescent="0.3">
      <c r="A3" s="73" t="s">
        <v>124</v>
      </c>
      <c r="B3" s="13">
        <v>5</v>
      </c>
      <c r="C3" s="13">
        <v>5</v>
      </c>
      <c r="D3" s="13">
        <v>7.9</v>
      </c>
      <c r="E3" s="13">
        <v>3.7</v>
      </c>
      <c r="F3" s="13">
        <v>0.5</v>
      </c>
      <c r="G3" s="13"/>
      <c r="H3" s="13">
        <f t="shared" ref="H3:H10" si="0">SUM(B3:F3)/5</f>
        <v>4.42</v>
      </c>
      <c r="I3" s="13"/>
      <c r="J3" s="46" t="str">
        <f t="shared" ref="J3:J11" si="1">IF(H3&lt;=5,"INSUFICIENTE",IF(H3&lt;6,"SUFICIENTE",IF(H3&lt;7,"BIEN",IF(H3&lt;9,"NOTABLE",IF(H3&lt;10,"SOBRESALIENTE",IF(H3=10,"MATRICULA DE HONOR"))))))</f>
        <v>INSUFICIENTE</v>
      </c>
      <c r="L3" s="57" t="str">
        <f t="shared" ref="L3:L11" si="2">IF(B3&gt;C3,"CIENCIAS",IF(B3&lt;C3,"LETRAS",IF(B3=C3,"")))</f>
        <v/>
      </c>
    </row>
    <row r="4" spans="1:14" x14ac:dyDescent="0.3">
      <c r="A4" s="73" t="s">
        <v>125</v>
      </c>
      <c r="B4" s="13">
        <v>0.4</v>
      </c>
      <c r="C4" s="13">
        <v>9.6</v>
      </c>
      <c r="D4" s="13">
        <v>2.5</v>
      </c>
      <c r="E4" s="13">
        <v>1.6</v>
      </c>
      <c r="F4" s="13">
        <v>5.7</v>
      </c>
      <c r="G4" s="13"/>
      <c r="H4" s="13">
        <f t="shared" si="0"/>
        <v>3.96</v>
      </c>
      <c r="I4" s="13"/>
      <c r="J4" s="46" t="str">
        <f t="shared" si="1"/>
        <v>INSUFICIENTE</v>
      </c>
      <c r="L4" s="57" t="str">
        <f t="shared" si="2"/>
        <v>LETRAS</v>
      </c>
    </row>
    <row r="5" spans="1:14" x14ac:dyDescent="0.3">
      <c r="A5" s="73" t="s">
        <v>126</v>
      </c>
      <c r="B5" s="13">
        <v>5.4</v>
      </c>
      <c r="C5" s="13">
        <v>5.0999999999999996</v>
      </c>
      <c r="D5" s="13">
        <v>9.4</v>
      </c>
      <c r="E5" s="13">
        <v>10</v>
      </c>
      <c r="F5" s="13">
        <v>0.6</v>
      </c>
      <c r="G5" s="13"/>
      <c r="H5" s="13">
        <f t="shared" si="0"/>
        <v>6.1</v>
      </c>
      <c r="I5" s="13"/>
      <c r="J5" s="46" t="str">
        <f t="shared" si="1"/>
        <v>BIEN</v>
      </c>
      <c r="L5" s="57" t="str">
        <f t="shared" si="2"/>
        <v>CIENCIAS</v>
      </c>
    </row>
    <row r="6" spans="1:14" x14ac:dyDescent="0.3">
      <c r="A6" s="73" t="s">
        <v>127</v>
      </c>
      <c r="B6" s="13">
        <v>5.6</v>
      </c>
      <c r="C6" s="13">
        <v>0.2</v>
      </c>
      <c r="D6" s="13">
        <v>5.7</v>
      </c>
      <c r="E6" s="13">
        <v>3.4</v>
      </c>
      <c r="F6" s="13">
        <v>3.7</v>
      </c>
      <c r="G6" s="13"/>
      <c r="H6" s="13">
        <f t="shared" si="0"/>
        <v>3.72</v>
      </c>
      <c r="I6" s="13"/>
      <c r="J6" s="46" t="str">
        <f t="shared" si="1"/>
        <v>INSUFICIENTE</v>
      </c>
      <c r="L6" s="57" t="str">
        <f t="shared" si="2"/>
        <v>CIENCIAS</v>
      </c>
    </row>
    <row r="7" spans="1:14" x14ac:dyDescent="0.3">
      <c r="A7" s="73" t="s">
        <v>128</v>
      </c>
      <c r="B7" s="13">
        <v>0.7</v>
      </c>
      <c r="C7" s="13">
        <v>9</v>
      </c>
      <c r="D7" s="13">
        <v>10</v>
      </c>
      <c r="E7" s="13">
        <v>9.8000000000000007</v>
      </c>
      <c r="F7" s="13">
        <v>5.5</v>
      </c>
      <c r="G7" s="13"/>
      <c r="H7" s="13">
        <f t="shared" si="0"/>
        <v>7</v>
      </c>
      <c r="I7" s="13"/>
      <c r="J7" s="46" t="str">
        <f t="shared" si="1"/>
        <v>NOTABLE</v>
      </c>
      <c r="L7" s="57" t="str">
        <f t="shared" si="2"/>
        <v>LETRAS</v>
      </c>
    </row>
    <row r="8" spans="1:14" x14ac:dyDescent="0.3">
      <c r="A8" s="73" t="s">
        <v>129</v>
      </c>
      <c r="B8" s="13">
        <v>1.7</v>
      </c>
      <c r="C8" s="13">
        <v>1.9</v>
      </c>
      <c r="D8" s="13">
        <v>9.1999999999999993</v>
      </c>
      <c r="E8" s="13">
        <v>7.9</v>
      </c>
      <c r="F8" s="13">
        <v>4.2</v>
      </c>
      <c r="G8" s="13"/>
      <c r="H8" s="13">
        <f t="shared" si="0"/>
        <v>4.9799999999999995</v>
      </c>
      <c r="I8" s="13"/>
      <c r="J8" s="46" t="str">
        <f t="shared" si="1"/>
        <v>INSUFICIENTE</v>
      </c>
      <c r="L8" s="57" t="str">
        <f t="shared" si="2"/>
        <v>LETRAS</v>
      </c>
    </row>
    <row r="9" spans="1:14" x14ac:dyDescent="0.3">
      <c r="A9" s="73" t="s">
        <v>130</v>
      </c>
      <c r="B9" s="13">
        <v>2.8</v>
      </c>
      <c r="C9" s="13">
        <v>1.5</v>
      </c>
      <c r="D9" s="13">
        <v>3.9</v>
      </c>
      <c r="E9" s="13">
        <v>2.4</v>
      </c>
      <c r="F9" s="13">
        <v>6.2</v>
      </c>
      <c r="G9" s="13"/>
      <c r="H9" s="13">
        <v>10</v>
      </c>
      <c r="I9" s="13"/>
      <c r="J9" s="46" t="str">
        <f t="shared" si="1"/>
        <v>MATRICULA DE HONOR</v>
      </c>
      <c r="L9" s="57" t="str">
        <f t="shared" si="2"/>
        <v>CIENCIAS</v>
      </c>
    </row>
    <row r="10" spans="1:14" x14ac:dyDescent="0.3">
      <c r="A10" s="73" t="s">
        <v>131</v>
      </c>
      <c r="B10" s="13">
        <v>1.5</v>
      </c>
      <c r="C10" s="13">
        <v>4.7</v>
      </c>
      <c r="D10" s="13">
        <v>7.3</v>
      </c>
      <c r="E10" s="13">
        <v>7.7</v>
      </c>
      <c r="F10" s="13">
        <v>8.6</v>
      </c>
      <c r="G10" s="13"/>
      <c r="H10" s="13">
        <f t="shared" si="0"/>
        <v>5.9599999999999991</v>
      </c>
      <c r="I10" s="13"/>
      <c r="J10" s="46" t="str">
        <f t="shared" si="1"/>
        <v>SUFICIENTE</v>
      </c>
      <c r="L10" s="57" t="str">
        <f t="shared" si="2"/>
        <v>LETRAS</v>
      </c>
    </row>
    <row r="11" spans="1:14" ht="15" thickBot="1" x14ac:dyDescent="0.35">
      <c r="A11" s="74" t="s">
        <v>132</v>
      </c>
      <c r="B11" s="48">
        <v>4.2</v>
      </c>
      <c r="C11" s="48">
        <v>4.7</v>
      </c>
      <c r="D11" s="48">
        <v>2.8</v>
      </c>
      <c r="E11" s="48">
        <v>0.9</v>
      </c>
      <c r="F11" s="48">
        <v>2.9</v>
      </c>
      <c r="G11" s="48"/>
      <c r="H11" s="48">
        <v>4</v>
      </c>
      <c r="I11" s="48"/>
      <c r="J11" s="49" t="str">
        <f t="shared" si="1"/>
        <v>INSUFICIENTE</v>
      </c>
      <c r="L11" s="58" t="str">
        <f t="shared" si="2"/>
        <v>LETRAS</v>
      </c>
    </row>
    <row r="13" spans="1:14" x14ac:dyDescent="0.3">
      <c r="A13" t="s">
        <v>72</v>
      </c>
      <c r="B13">
        <f>SUM(B2:B11)/10</f>
        <v>3.63</v>
      </c>
      <c r="C13">
        <f t="shared" ref="C13:F13" si="3">SUM(C2:C11)/10</f>
        <v>4.3600000000000012</v>
      </c>
      <c r="D13">
        <f t="shared" si="3"/>
        <v>5.9299999999999988</v>
      </c>
      <c r="E13">
        <f t="shared" si="3"/>
        <v>5.5699999999999994</v>
      </c>
      <c r="F13">
        <f t="shared" si="3"/>
        <v>4.2299999999999995</v>
      </c>
    </row>
    <row r="16" spans="1:14" x14ac:dyDescent="0.3">
      <c r="H16">
        <f>SUM(B13,F13)/2</f>
        <v>3.9299999999999997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499984740745262"/>
  </sheetPr>
  <dimension ref="A1:K10"/>
  <sheetViews>
    <sheetView workbookViewId="0">
      <selection activeCell="J2" sqref="J2"/>
    </sheetView>
  </sheetViews>
  <sheetFormatPr baseColWidth="10" defaultRowHeight="14.4" x14ac:dyDescent="0.3"/>
  <cols>
    <col min="1" max="1" width="1.6640625" customWidth="1"/>
    <col min="2" max="2" width="20.6640625" customWidth="1"/>
    <col min="3" max="3" width="1.6640625" customWidth="1"/>
    <col min="4" max="4" width="20.6640625" customWidth="1"/>
    <col min="5" max="5" width="1.6640625" customWidth="1"/>
    <col min="6" max="6" width="4.6640625" customWidth="1"/>
    <col min="7" max="7" width="1.6640625" customWidth="1"/>
    <col min="8" max="8" width="4.6640625" customWidth="1"/>
    <col min="9" max="9" width="1.6640625" customWidth="1"/>
    <col min="10" max="10" width="20.6640625" customWidth="1"/>
    <col min="11" max="11" width="1.6640625" style="78" customWidth="1"/>
  </cols>
  <sheetData>
    <row r="1" spans="1:11" x14ac:dyDescent="0.3">
      <c r="A1" s="77"/>
      <c r="B1" s="79" t="s">
        <v>153</v>
      </c>
      <c r="C1" s="77"/>
      <c r="D1" s="80" t="s">
        <v>154</v>
      </c>
      <c r="E1" s="77"/>
      <c r="F1" s="77"/>
      <c r="G1" s="77"/>
      <c r="H1" s="77"/>
      <c r="I1" s="77"/>
      <c r="J1" s="83" t="s">
        <v>138</v>
      </c>
      <c r="K1" s="77"/>
    </row>
    <row r="2" spans="1:11" x14ac:dyDescent="0.3">
      <c r="A2" s="77"/>
      <c r="B2" s="81" t="s">
        <v>136</v>
      </c>
      <c r="C2" s="75"/>
      <c r="D2" s="82" t="s">
        <v>137</v>
      </c>
      <c r="E2" s="77"/>
      <c r="F2" s="13">
        <v>3</v>
      </c>
      <c r="G2" s="75"/>
      <c r="H2" s="13">
        <v>2</v>
      </c>
      <c r="I2" s="77"/>
      <c r="J2" s="68" t="str">
        <f>IF(F2&gt;H2,B2,IF(F2&lt;H2,D2,"EMPATE"))</f>
        <v>REAL MADRID C.F.</v>
      </c>
      <c r="K2" s="77"/>
    </row>
    <row r="3" spans="1:11" x14ac:dyDescent="0.3">
      <c r="A3" s="77"/>
      <c r="B3" s="81" t="s">
        <v>139</v>
      </c>
      <c r="C3" s="75"/>
      <c r="D3" s="82" t="s">
        <v>140</v>
      </c>
      <c r="E3" s="77"/>
      <c r="F3" s="13">
        <v>2</v>
      </c>
      <c r="G3" s="75"/>
      <c r="H3" s="13">
        <v>7</v>
      </c>
      <c r="I3" s="77"/>
      <c r="J3" s="68" t="str">
        <f t="shared" ref="J3:J9" si="0">IF(F3&gt;H3,B3,IF(F3&lt;H3,D3,"EMPATE"))</f>
        <v>ATLETICO DE MADRID</v>
      </c>
      <c r="K3" s="77"/>
    </row>
    <row r="4" spans="1:11" x14ac:dyDescent="0.3">
      <c r="A4" s="77"/>
      <c r="B4" s="81" t="s">
        <v>141</v>
      </c>
      <c r="C4" s="75"/>
      <c r="D4" s="82" t="s">
        <v>142</v>
      </c>
      <c r="E4" s="77"/>
      <c r="F4" s="13">
        <v>4</v>
      </c>
      <c r="G4" s="75"/>
      <c r="H4" s="13">
        <v>1</v>
      </c>
      <c r="I4" s="77"/>
      <c r="J4" s="68" t="str">
        <f t="shared" si="0"/>
        <v>BARCELONA</v>
      </c>
      <c r="K4" s="77"/>
    </row>
    <row r="5" spans="1:11" x14ac:dyDescent="0.3">
      <c r="A5" s="77"/>
      <c r="B5" s="81" t="s">
        <v>143</v>
      </c>
      <c r="C5" s="75"/>
      <c r="D5" s="82" t="s">
        <v>144</v>
      </c>
      <c r="E5" s="77"/>
      <c r="F5" s="13">
        <v>7</v>
      </c>
      <c r="G5" s="75"/>
      <c r="H5" s="13">
        <v>4</v>
      </c>
      <c r="I5" s="77"/>
      <c r="J5" s="68" t="str">
        <f t="shared" si="0"/>
        <v>CHEALSE</v>
      </c>
      <c r="K5" s="77"/>
    </row>
    <row r="6" spans="1:11" x14ac:dyDescent="0.3">
      <c r="A6" s="77"/>
      <c r="B6" s="81" t="s">
        <v>145</v>
      </c>
      <c r="C6" s="75"/>
      <c r="D6" s="82" t="s">
        <v>146</v>
      </c>
      <c r="E6" s="77"/>
      <c r="F6" s="13">
        <v>6</v>
      </c>
      <c r="G6" s="75"/>
      <c r="H6" s="13">
        <v>7</v>
      </c>
      <c r="I6" s="77"/>
      <c r="J6" s="68" t="str">
        <f t="shared" si="0"/>
        <v>ROMA</v>
      </c>
      <c r="K6" s="77"/>
    </row>
    <row r="7" spans="1:11" x14ac:dyDescent="0.3">
      <c r="A7" s="77"/>
      <c r="B7" s="81" t="s">
        <v>147</v>
      </c>
      <c r="C7" s="75"/>
      <c r="D7" s="82" t="s">
        <v>148</v>
      </c>
      <c r="E7" s="77"/>
      <c r="F7" s="13">
        <v>5</v>
      </c>
      <c r="G7" s="75"/>
      <c r="H7" s="13">
        <v>2</v>
      </c>
      <c r="I7" s="77"/>
      <c r="J7" s="68" t="str">
        <f t="shared" si="0"/>
        <v>JUVENTUS</v>
      </c>
      <c r="K7" s="77"/>
    </row>
    <row r="8" spans="1:11" x14ac:dyDescent="0.3">
      <c r="A8" s="77"/>
      <c r="B8" s="81" t="s">
        <v>149</v>
      </c>
      <c r="C8" s="75"/>
      <c r="D8" s="82" t="s">
        <v>150</v>
      </c>
      <c r="E8" s="77"/>
      <c r="F8" s="13">
        <v>5</v>
      </c>
      <c r="G8" s="75"/>
      <c r="H8" s="13">
        <v>4</v>
      </c>
      <c r="I8" s="77"/>
      <c r="J8" s="68" t="str">
        <f t="shared" si="0"/>
        <v>AJAX</v>
      </c>
      <c r="K8" s="77"/>
    </row>
    <row r="9" spans="1:11" x14ac:dyDescent="0.3">
      <c r="A9" s="77"/>
      <c r="B9" s="81" t="s">
        <v>151</v>
      </c>
      <c r="C9" s="75"/>
      <c r="D9" s="82" t="s">
        <v>152</v>
      </c>
      <c r="E9" s="77"/>
      <c r="F9" s="13">
        <v>7</v>
      </c>
      <c r="G9" s="75"/>
      <c r="H9" s="13">
        <v>4</v>
      </c>
      <c r="I9" s="77"/>
      <c r="J9" s="68" t="str">
        <f t="shared" si="0"/>
        <v>VILLAREAL</v>
      </c>
      <c r="K9" s="77"/>
    </row>
    <row r="10" spans="1:11" x14ac:dyDescent="0.3">
      <c r="A10" s="77"/>
      <c r="B10" s="77"/>
      <c r="C10" s="77"/>
      <c r="D10" s="77"/>
      <c r="E10" s="77"/>
      <c r="F10" s="77"/>
      <c r="G10" s="77"/>
      <c r="H10" s="77"/>
      <c r="I10" s="77"/>
      <c r="J10" s="77"/>
      <c r="K10" s="77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F14"/>
  <sheetViews>
    <sheetView workbookViewId="0">
      <selection activeCell="C2" sqref="C2"/>
    </sheetView>
  </sheetViews>
  <sheetFormatPr baseColWidth="10" defaultRowHeight="14.4" x14ac:dyDescent="0.3"/>
  <cols>
    <col min="1" max="1" width="23.6640625" customWidth="1"/>
    <col min="2" max="2" width="1.6640625" customWidth="1"/>
    <col min="5" max="5" width="1.6640625" customWidth="1"/>
    <col min="6" max="6" width="16.109375" customWidth="1"/>
  </cols>
  <sheetData>
    <row r="1" spans="1:6" x14ac:dyDescent="0.3">
      <c r="C1" s="2" t="s">
        <v>54</v>
      </c>
      <c r="D1" s="2" t="s">
        <v>55</v>
      </c>
      <c r="E1" s="2"/>
      <c r="F1" s="2" t="s">
        <v>165</v>
      </c>
    </row>
    <row r="2" spans="1:6" x14ac:dyDescent="0.3">
      <c r="A2" s="84" t="s">
        <v>155</v>
      </c>
      <c r="B2" s="2"/>
      <c r="C2" s="2">
        <f ca="1">RANDBETWEEN(0,100)/10</f>
        <v>0.4</v>
      </c>
      <c r="D2" s="2">
        <f ca="1">RANDBETWEEN(0,100)/10</f>
        <v>6.1</v>
      </c>
      <c r="E2" s="2"/>
      <c r="F2" t="str">
        <f ca="1">IF(AND(C2&gt;=5,D2&gt;=5),"CAMPEON",IF(AND(C2&lt;5,D2&lt;5),"PRINGAO","TU SI QUE PUEDES"))</f>
        <v>TU SI QUE PUEDES</v>
      </c>
    </row>
    <row r="3" spans="1:6" x14ac:dyDescent="0.3">
      <c r="A3" s="84" t="s">
        <v>156</v>
      </c>
      <c r="B3" s="2"/>
      <c r="C3" s="2">
        <f t="shared" ref="C3:D11" ca="1" si="0">RANDBETWEEN(0,100)/10</f>
        <v>1.5</v>
      </c>
      <c r="D3" s="2">
        <f t="shared" ca="1" si="0"/>
        <v>9.9</v>
      </c>
      <c r="E3" s="2"/>
      <c r="F3" t="str">
        <f t="shared" ref="F3:F11" ca="1" si="1">IF(AND(C3&gt;=5,D3&gt;=5),"CAMPEON",IF(AND(C3&lt;5,D3&lt;5),"PRINGAO","TU SI QUE PUEDES"))</f>
        <v>TU SI QUE PUEDES</v>
      </c>
    </row>
    <row r="4" spans="1:6" x14ac:dyDescent="0.3">
      <c r="A4" s="84" t="s">
        <v>157</v>
      </c>
      <c r="B4" s="2"/>
      <c r="C4" s="2">
        <f t="shared" ca="1" si="0"/>
        <v>4.2</v>
      </c>
      <c r="D4" s="2">
        <f t="shared" ca="1" si="0"/>
        <v>9</v>
      </c>
      <c r="E4" s="2"/>
      <c r="F4" t="str">
        <f t="shared" ca="1" si="1"/>
        <v>TU SI QUE PUEDES</v>
      </c>
    </row>
    <row r="5" spans="1:6" x14ac:dyDescent="0.3">
      <c r="A5" s="84" t="s">
        <v>158</v>
      </c>
      <c r="B5" s="2"/>
      <c r="C5" s="2">
        <f t="shared" ca="1" si="0"/>
        <v>2.1</v>
      </c>
      <c r="D5" s="2">
        <f t="shared" ca="1" si="0"/>
        <v>0.1</v>
      </c>
      <c r="E5" s="2"/>
      <c r="F5" t="str">
        <f t="shared" ca="1" si="1"/>
        <v>PRINGAO</v>
      </c>
    </row>
    <row r="6" spans="1:6" x14ac:dyDescent="0.3">
      <c r="A6" s="84" t="s">
        <v>159</v>
      </c>
      <c r="B6" s="2"/>
      <c r="C6" s="2">
        <f t="shared" ca="1" si="0"/>
        <v>2.9</v>
      </c>
      <c r="D6" s="2">
        <f t="shared" ca="1" si="0"/>
        <v>0.8</v>
      </c>
      <c r="E6" s="2"/>
      <c r="F6" t="str">
        <f t="shared" ca="1" si="1"/>
        <v>PRINGAO</v>
      </c>
    </row>
    <row r="7" spans="1:6" x14ac:dyDescent="0.3">
      <c r="A7" s="84" t="s">
        <v>160</v>
      </c>
      <c r="B7" s="2"/>
      <c r="C7" s="2">
        <f t="shared" ca="1" si="0"/>
        <v>3.3</v>
      </c>
      <c r="D7" s="2">
        <f t="shared" ca="1" si="0"/>
        <v>4.8</v>
      </c>
      <c r="E7" s="2"/>
      <c r="F7" t="str">
        <f t="shared" ca="1" si="1"/>
        <v>PRINGAO</v>
      </c>
    </row>
    <row r="8" spans="1:6" x14ac:dyDescent="0.3">
      <c r="A8" s="84" t="s">
        <v>161</v>
      </c>
      <c r="B8" s="2"/>
      <c r="C8" s="2">
        <f t="shared" ca="1" si="0"/>
        <v>1.8</v>
      </c>
      <c r="D8" s="2">
        <f t="shared" ca="1" si="0"/>
        <v>1.4</v>
      </c>
      <c r="E8" s="2"/>
      <c r="F8" t="str">
        <f t="shared" ca="1" si="1"/>
        <v>PRINGAO</v>
      </c>
    </row>
    <row r="9" spans="1:6" x14ac:dyDescent="0.3">
      <c r="A9" s="84" t="s">
        <v>162</v>
      </c>
      <c r="B9" s="2"/>
      <c r="C9" s="2">
        <f t="shared" ca="1" si="0"/>
        <v>1.8</v>
      </c>
      <c r="D9" s="2">
        <f t="shared" ca="1" si="0"/>
        <v>3.4</v>
      </c>
      <c r="E9" s="2"/>
      <c r="F9" t="str">
        <f t="shared" ca="1" si="1"/>
        <v>PRINGAO</v>
      </c>
    </row>
    <row r="10" spans="1:6" x14ac:dyDescent="0.3">
      <c r="A10" s="84" t="s">
        <v>163</v>
      </c>
      <c r="B10" s="2"/>
      <c r="C10" s="2">
        <f t="shared" ca="1" si="0"/>
        <v>2.7</v>
      </c>
      <c r="D10" s="2">
        <f t="shared" ca="1" si="0"/>
        <v>5.8</v>
      </c>
      <c r="E10" s="2"/>
      <c r="F10" t="str">
        <f t="shared" ca="1" si="1"/>
        <v>TU SI QUE PUEDES</v>
      </c>
    </row>
    <row r="11" spans="1:6" x14ac:dyDescent="0.3">
      <c r="A11" s="84" t="s">
        <v>164</v>
      </c>
      <c r="B11" s="2"/>
      <c r="C11" s="2">
        <f t="shared" ca="1" si="0"/>
        <v>3.9</v>
      </c>
      <c r="D11" s="2">
        <f t="shared" ca="1" si="0"/>
        <v>1</v>
      </c>
      <c r="E11" s="2"/>
      <c r="F11" t="str">
        <f t="shared" ca="1" si="1"/>
        <v>PRINGAO</v>
      </c>
    </row>
    <row r="12" spans="1:6" x14ac:dyDescent="0.3">
      <c r="A12" s="2"/>
      <c r="B12" s="2"/>
      <c r="C12" s="2"/>
      <c r="D12" s="2"/>
      <c r="E12" s="2"/>
    </row>
    <row r="13" spans="1:6" x14ac:dyDescent="0.3">
      <c r="A13" s="2"/>
      <c r="B13" s="2"/>
      <c r="C13" s="2"/>
      <c r="D13" s="2"/>
      <c r="E13" s="2"/>
    </row>
    <row r="14" spans="1:6" x14ac:dyDescent="0.3">
      <c r="A14" s="2"/>
      <c r="B14" s="2"/>
      <c r="C14" s="2"/>
      <c r="D14" s="2"/>
      <c r="E14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0.39997558519241921"/>
  </sheetPr>
  <dimension ref="A1:J19"/>
  <sheetViews>
    <sheetView workbookViewId="0">
      <selection activeCell="H2" sqref="H2:H13"/>
    </sheetView>
  </sheetViews>
  <sheetFormatPr baseColWidth="10" defaultRowHeight="14.4" x14ac:dyDescent="0.3"/>
  <cols>
    <col min="1" max="1" width="23.6640625" customWidth="1"/>
    <col min="2" max="2" width="1.6640625" customWidth="1"/>
    <col min="3" max="5" width="6.6640625" customWidth="1"/>
    <col min="6" max="6" width="1.6640625" customWidth="1"/>
    <col min="7" max="7" width="16.109375" customWidth="1"/>
    <col min="8" max="8" width="15" customWidth="1"/>
  </cols>
  <sheetData>
    <row r="1" spans="1:10" x14ac:dyDescent="0.3">
      <c r="C1" s="2" t="s">
        <v>54</v>
      </c>
      <c r="D1" s="2" t="s">
        <v>55</v>
      </c>
      <c r="E1" s="2" t="s">
        <v>58</v>
      </c>
      <c r="F1" s="2"/>
      <c r="G1" s="2" t="s">
        <v>170</v>
      </c>
      <c r="H1" s="2" t="s">
        <v>171</v>
      </c>
    </row>
    <row r="2" spans="1:10" x14ac:dyDescent="0.3">
      <c r="A2" s="84" t="s">
        <v>155</v>
      </c>
      <c r="B2" s="2"/>
      <c r="C2" s="2">
        <f ca="1">RANDBETWEEN(0,100)/10</f>
        <v>1.8</v>
      </c>
      <c r="D2" s="2">
        <v>3</v>
      </c>
      <c r="E2" s="2">
        <f ca="1">RANDBETWEEN(0,100)/10</f>
        <v>5</v>
      </c>
      <c r="F2" s="2"/>
      <c r="G2" s="2" t="str">
        <f ca="1">IF(COUNTIF(C2:E2,"&gt;=5")=3,"CAMPEON",IF(COUNTIF(C2:E2,"&lt;5º")=3,"PRINGAO",IF(COUNTIF(C2:E2,"&gt;=5")=1,"AUN PUEDES","CASI CRACK")))</f>
        <v>AUN PUEDES</v>
      </c>
    </row>
    <row r="3" spans="1:10" x14ac:dyDescent="0.3">
      <c r="A3" s="84" t="s">
        <v>156</v>
      </c>
      <c r="B3" s="2"/>
      <c r="C3" s="2">
        <f t="shared" ref="C3:E11" ca="1" si="0">RANDBETWEEN(0,100)/10</f>
        <v>0.7</v>
      </c>
      <c r="D3" s="2">
        <f t="shared" ca="1" si="0"/>
        <v>4</v>
      </c>
      <c r="E3" s="2">
        <f t="shared" ca="1" si="0"/>
        <v>7.2</v>
      </c>
      <c r="F3" s="2"/>
      <c r="G3" s="2" t="str">
        <f t="shared" ref="G3:G12" ca="1" si="1">IF(COUNTIF(C3:E3,"&gt;=5")=3,"CAMPEON",IF(COUNTIF(C3:E3,"&lt;5º")=3,"PRINGAO",IF(COUNTIF(C3:E3,"&gt;=5")=1,"AUN PUEDES","CASI CRACK")))</f>
        <v>AUN PUEDES</v>
      </c>
    </row>
    <row r="4" spans="1:10" x14ac:dyDescent="0.3">
      <c r="A4" s="84" t="s">
        <v>157</v>
      </c>
      <c r="B4" s="2"/>
      <c r="C4" s="2">
        <f t="shared" ca="1" si="0"/>
        <v>9.6</v>
      </c>
      <c r="D4" s="2">
        <f t="shared" ca="1" si="0"/>
        <v>3.1</v>
      </c>
      <c r="E4" s="2">
        <f t="shared" ca="1" si="0"/>
        <v>6.2</v>
      </c>
      <c r="F4" s="2"/>
      <c r="G4" s="2" t="str">
        <f t="shared" ca="1" si="1"/>
        <v>CASI CRACK</v>
      </c>
    </row>
    <row r="5" spans="1:10" x14ac:dyDescent="0.3">
      <c r="A5" s="84" t="s">
        <v>158</v>
      </c>
      <c r="B5" s="2"/>
      <c r="C5" s="2">
        <f t="shared" ca="1" si="0"/>
        <v>0</v>
      </c>
      <c r="D5" s="2">
        <f t="shared" ca="1" si="0"/>
        <v>6.7</v>
      </c>
      <c r="E5" s="2">
        <f t="shared" ca="1" si="0"/>
        <v>4.5999999999999996</v>
      </c>
      <c r="F5" s="2"/>
      <c r="G5" s="2" t="str">
        <f t="shared" ca="1" si="1"/>
        <v>AUN PUEDES</v>
      </c>
    </row>
    <row r="6" spans="1:10" x14ac:dyDescent="0.3">
      <c r="A6" s="84" t="s">
        <v>159</v>
      </c>
      <c r="B6" s="2"/>
      <c r="C6" s="2">
        <f t="shared" ca="1" si="0"/>
        <v>3.5</v>
      </c>
      <c r="D6" s="2">
        <f t="shared" ca="1" si="0"/>
        <v>9.9</v>
      </c>
      <c r="E6" s="2">
        <f t="shared" ca="1" si="0"/>
        <v>5.8</v>
      </c>
      <c r="F6" s="2"/>
      <c r="G6" s="2" t="str">
        <f t="shared" ca="1" si="1"/>
        <v>CASI CRACK</v>
      </c>
    </row>
    <row r="7" spans="1:10" x14ac:dyDescent="0.3">
      <c r="A7" s="84" t="s">
        <v>160</v>
      </c>
      <c r="B7" s="2"/>
      <c r="C7" s="2">
        <f t="shared" ca="1" si="0"/>
        <v>1.2</v>
      </c>
      <c r="D7" s="2">
        <f t="shared" ca="1" si="0"/>
        <v>6.9</v>
      </c>
      <c r="E7" s="2">
        <f t="shared" ca="1" si="0"/>
        <v>2.1</v>
      </c>
      <c r="F7" s="2"/>
      <c r="G7" s="2" t="str">
        <f t="shared" ca="1" si="1"/>
        <v>AUN PUEDES</v>
      </c>
    </row>
    <row r="8" spans="1:10" x14ac:dyDescent="0.3">
      <c r="A8" s="84" t="s">
        <v>161</v>
      </c>
      <c r="B8" s="2"/>
      <c r="C8" s="2">
        <f t="shared" ca="1" si="0"/>
        <v>1.9</v>
      </c>
      <c r="D8" s="2">
        <f t="shared" ca="1" si="0"/>
        <v>2.5</v>
      </c>
      <c r="E8" s="2">
        <f t="shared" ca="1" si="0"/>
        <v>4.2</v>
      </c>
      <c r="F8" s="2"/>
      <c r="G8" s="2" t="str">
        <f t="shared" ca="1" si="1"/>
        <v>CASI CRACK</v>
      </c>
    </row>
    <row r="9" spans="1:10" x14ac:dyDescent="0.3">
      <c r="A9" s="84" t="s">
        <v>162</v>
      </c>
      <c r="B9" s="2"/>
      <c r="C9" s="2">
        <f t="shared" ca="1" si="0"/>
        <v>1.4</v>
      </c>
      <c r="D9" s="2">
        <f t="shared" ca="1" si="0"/>
        <v>8</v>
      </c>
      <c r="E9" s="2">
        <f t="shared" ca="1" si="0"/>
        <v>3.2</v>
      </c>
      <c r="F9" s="2"/>
      <c r="G9" s="2" t="str">
        <f t="shared" ca="1" si="1"/>
        <v>AUN PUEDES</v>
      </c>
    </row>
    <row r="10" spans="1:10" x14ac:dyDescent="0.3">
      <c r="A10" s="84" t="s">
        <v>163</v>
      </c>
      <c r="B10" s="2"/>
      <c r="C10" s="2">
        <f t="shared" ca="1" si="0"/>
        <v>0.7</v>
      </c>
      <c r="D10" s="2">
        <f t="shared" ca="1" si="0"/>
        <v>9</v>
      </c>
      <c r="E10" s="2">
        <f t="shared" ca="1" si="0"/>
        <v>9.3000000000000007</v>
      </c>
      <c r="F10" s="2"/>
      <c r="G10" s="2" t="str">
        <f t="shared" ca="1" si="1"/>
        <v>CASI CRACK</v>
      </c>
    </row>
    <row r="11" spans="1:10" x14ac:dyDescent="0.3">
      <c r="A11" s="84" t="s">
        <v>164</v>
      </c>
      <c r="B11" s="2"/>
      <c r="C11" s="2">
        <f t="shared" ca="1" si="0"/>
        <v>5.9</v>
      </c>
      <c r="D11" s="2">
        <f t="shared" ca="1" si="0"/>
        <v>2.5</v>
      </c>
      <c r="E11" s="2">
        <f t="shared" ca="1" si="0"/>
        <v>8.9</v>
      </c>
      <c r="F11" s="2"/>
      <c r="G11" s="2" t="str">
        <f t="shared" ca="1" si="1"/>
        <v>CASI CRACK</v>
      </c>
    </row>
    <row r="12" spans="1:10" x14ac:dyDescent="0.3">
      <c r="A12" s="2"/>
      <c r="B12" s="2"/>
      <c r="C12" s="2">
        <v>8</v>
      </c>
      <c r="D12" s="2">
        <v>8</v>
      </c>
      <c r="E12" s="2">
        <v>8</v>
      </c>
      <c r="F12" s="2"/>
      <c r="G12" s="2" t="str">
        <f t="shared" si="1"/>
        <v>CAMPEON</v>
      </c>
    </row>
    <row r="13" spans="1:10" x14ac:dyDescent="0.3">
      <c r="A13" s="2"/>
      <c r="B13" s="2"/>
      <c r="C13" s="2">
        <v>1</v>
      </c>
      <c r="D13" s="2">
        <v>2</v>
      </c>
      <c r="E13" s="2">
        <v>3</v>
      </c>
      <c r="F13" s="2"/>
      <c r="G13" s="2" t="str">
        <f>IF(COUNTIF(C13:E13,"&gt;=5")=3,"CAMPEON",IF(COUNTIF(C13:E13,"&lt;5")=3,"PRINGAO",IF(COUNTIF(C13:E13,"&gt;=5")=1,"AUN PUEDES","CASI CRACK")))</f>
        <v>PRINGAO</v>
      </c>
    </row>
    <row r="14" spans="1:10" x14ac:dyDescent="0.3">
      <c r="A14" s="2"/>
      <c r="B14" s="2"/>
      <c r="C14" s="2"/>
      <c r="D14" s="2"/>
      <c r="E14" s="2"/>
      <c r="F14" s="2"/>
    </row>
    <row r="16" spans="1:10" x14ac:dyDescent="0.3">
      <c r="I16">
        <v>3</v>
      </c>
      <c r="J16" t="s">
        <v>166</v>
      </c>
    </row>
    <row r="17" spans="9:10" x14ac:dyDescent="0.3">
      <c r="I17">
        <v>0</v>
      </c>
      <c r="J17" t="s">
        <v>167</v>
      </c>
    </row>
    <row r="18" spans="9:10" x14ac:dyDescent="0.3">
      <c r="I18">
        <v>1</v>
      </c>
      <c r="J18" t="s">
        <v>168</v>
      </c>
    </row>
    <row r="19" spans="9:10" x14ac:dyDescent="0.3">
      <c r="I19">
        <v>2</v>
      </c>
      <c r="J19" t="s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E8:I13"/>
  <sheetViews>
    <sheetView workbookViewId="0">
      <selection activeCell="H12" sqref="H12"/>
    </sheetView>
  </sheetViews>
  <sheetFormatPr baseColWidth="10" defaultRowHeight="14.4" x14ac:dyDescent="0.3"/>
  <cols>
    <col min="6" max="6" width="1.6640625" customWidth="1"/>
  </cols>
  <sheetData>
    <row r="8" spans="5:9" x14ac:dyDescent="0.3">
      <c r="G8" s="2" t="s">
        <v>172</v>
      </c>
      <c r="H8" s="2" t="s">
        <v>173</v>
      </c>
      <c r="I8" s="2" t="s">
        <v>174</v>
      </c>
    </row>
    <row r="9" spans="5:9" x14ac:dyDescent="0.3">
      <c r="E9">
        <v>1.0123188400000001</v>
      </c>
      <c r="G9" s="85">
        <f>INT(E9)</f>
        <v>1</v>
      </c>
      <c r="H9" s="85">
        <f>INT((E9-G9)*60)</f>
        <v>0</v>
      </c>
      <c r="I9" s="4">
        <f>ROUND(((E9-G9)*60-H9)*60,2)</f>
        <v>44.35</v>
      </c>
    </row>
    <row r="13" spans="5:9" x14ac:dyDescent="0.3">
      <c r="E13">
        <f>(G13/60)+(H13/69)+(I13/60)</f>
        <v>1.0123188405797101</v>
      </c>
      <c r="G13">
        <v>1</v>
      </c>
      <c r="H13">
        <v>25</v>
      </c>
      <c r="I13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N20"/>
  <sheetViews>
    <sheetView topLeftCell="B1" workbookViewId="0">
      <pane xSplit="1" topLeftCell="C1" activePane="topRight" state="frozen"/>
      <selection activeCell="B1" sqref="B1"/>
      <selection pane="topRight" activeCell="O18" sqref="O18"/>
    </sheetView>
  </sheetViews>
  <sheetFormatPr baseColWidth="10" defaultRowHeight="14.4" x14ac:dyDescent="0.3"/>
  <cols>
    <col min="2" max="2" width="23.109375" customWidth="1"/>
    <col min="8" max="8" width="14" customWidth="1"/>
    <col min="9" max="9" width="15.44140625" customWidth="1"/>
    <col min="10" max="10" width="1.6640625" customWidth="1"/>
    <col min="11" max="11" width="14.6640625" customWidth="1"/>
    <col min="14" max="14" width="12.88671875" customWidth="1"/>
  </cols>
  <sheetData>
    <row r="1" spans="2:14" ht="15" thickBot="1" x14ac:dyDescent="0.35">
      <c r="C1" s="86">
        <v>1500</v>
      </c>
      <c r="D1" s="86">
        <v>3000</v>
      </c>
      <c r="E1" s="86">
        <v>2500</v>
      </c>
      <c r="F1" s="86">
        <v>2000</v>
      </c>
    </row>
    <row r="2" spans="2:14" x14ac:dyDescent="0.3">
      <c r="B2" s="191"/>
      <c r="C2" s="193" t="s">
        <v>188</v>
      </c>
      <c r="D2" s="196" t="s">
        <v>189</v>
      </c>
      <c r="E2" s="199" t="s">
        <v>191</v>
      </c>
      <c r="F2" s="188" t="s">
        <v>190</v>
      </c>
    </row>
    <row r="3" spans="2:14" x14ac:dyDescent="0.3">
      <c r="B3" s="191"/>
      <c r="C3" s="194"/>
      <c r="D3" s="197"/>
      <c r="E3" s="200"/>
      <c r="F3" s="189"/>
    </row>
    <row r="4" spans="2:14" ht="15" thickBot="1" x14ac:dyDescent="0.35">
      <c r="B4" s="191"/>
      <c r="C4" s="194"/>
      <c r="D4" s="197"/>
      <c r="E4" s="200"/>
      <c r="F4" s="189"/>
    </row>
    <row r="5" spans="2:14" ht="29.4" thickBot="1" x14ac:dyDescent="0.35">
      <c r="B5" s="192"/>
      <c r="C5" s="195"/>
      <c r="D5" s="198"/>
      <c r="E5" s="201"/>
      <c r="F5" s="190"/>
      <c r="G5" s="88" t="s">
        <v>71</v>
      </c>
      <c r="H5" s="89" t="s">
        <v>187</v>
      </c>
      <c r="I5" s="89" t="s">
        <v>192</v>
      </c>
      <c r="J5" s="89"/>
      <c r="K5" s="90" t="s">
        <v>193</v>
      </c>
      <c r="L5" s="92" t="s">
        <v>194</v>
      </c>
      <c r="M5" s="91" t="s">
        <v>195</v>
      </c>
      <c r="N5" s="87" t="s">
        <v>196</v>
      </c>
    </row>
    <row r="6" spans="2:14" x14ac:dyDescent="0.3">
      <c r="B6" s="13" t="s">
        <v>175</v>
      </c>
      <c r="C6" s="50">
        <v>20</v>
      </c>
      <c r="D6" s="50">
        <v>11</v>
      </c>
      <c r="E6" s="50">
        <v>6</v>
      </c>
      <c r="F6" s="50">
        <v>1</v>
      </c>
      <c r="G6" s="86">
        <f>SUM(C6:F6)</f>
        <v>38</v>
      </c>
      <c r="H6" s="86">
        <f>MAX(C6:F6)</f>
        <v>20</v>
      </c>
      <c r="I6">
        <f>IF(C6=H6,$B$2,IF(D6=H6,$D$2,IF(E6=H6,$D$2,IF(F6=H6,$E$2,))))</f>
        <v>0</v>
      </c>
      <c r="K6" t="str">
        <f>IF(C6+D6&gt;E6+F6,"PRIMERA PARTE",IF(C6+D6&lt;E6+F6,"SEGUNDA PARTE","LE DA IGUAL"))</f>
        <v>PRIMERA PARTE</v>
      </c>
      <c r="L6" s="86">
        <f>C6*$C$1+D6*$D$1+E6*$E$1+F6*$F$1</f>
        <v>80000</v>
      </c>
      <c r="M6" s="93">
        <f>L6/G6</f>
        <v>2105.2631578947367</v>
      </c>
      <c r="N6" s="23" t="str">
        <f>IF(M6&gt;$M$19,"BENIFICIADO",IF(M6&lt;$M$19,"PERJUDICADO","INDIFERENTE"))</f>
        <v>PERJUDICADO</v>
      </c>
    </row>
    <row r="7" spans="2:14" x14ac:dyDescent="0.3">
      <c r="B7" s="13" t="s">
        <v>176</v>
      </c>
      <c r="C7" s="13">
        <v>19</v>
      </c>
      <c r="D7" s="13">
        <v>8</v>
      </c>
      <c r="E7" s="13">
        <v>1</v>
      </c>
      <c r="F7" s="13">
        <v>4</v>
      </c>
      <c r="G7" s="86">
        <f t="shared" ref="G7:G17" si="0">SUM(C7:F7)</f>
        <v>32</v>
      </c>
      <c r="H7" s="86">
        <f t="shared" ref="H7:H17" si="1">MAX(C7:F7)</f>
        <v>19</v>
      </c>
      <c r="K7" t="str">
        <f t="shared" ref="K7:K17" si="2">IF(C7+D7&gt;E7+F7,"PRIMERA PARTE",IF(C7+D7&lt;E7+F7,"SEGUNDA PARTE","LE DA IGUAL"))</f>
        <v>PRIMERA PARTE</v>
      </c>
      <c r="L7" s="86">
        <f t="shared" ref="L7:L17" si="3">C7*$C$1+D7*$D$1+E7*$E$1+F7*$F$1</f>
        <v>63000</v>
      </c>
      <c r="M7" s="93">
        <f t="shared" ref="M7:M17" si="4">L7/G7</f>
        <v>1968.75</v>
      </c>
      <c r="N7" s="23" t="str">
        <f t="shared" ref="N7:N17" si="5">IF(M7&gt;$M$19,"BENIFICIADO",IF(M7&lt;$M$19,"PERJUDICADO","INDIFERENTE"))</f>
        <v>PERJUDICADO</v>
      </c>
    </row>
    <row r="8" spans="2:14" x14ac:dyDescent="0.3">
      <c r="B8" s="13" t="s">
        <v>177</v>
      </c>
      <c r="C8" s="13">
        <v>16</v>
      </c>
      <c r="D8" s="13">
        <v>9</v>
      </c>
      <c r="E8" s="13">
        <v>7</v>
      </c>
      <c r="F8" s="13">
        <v>0</v>
      </c>
      <c r="G8" s="86">
        <f t="shared" si="0"/>
        <v>32</v>
      </c>
      <c r="H8" s="86">
        <f t="shared" si="1"/>
        <v>16</v>
      </c>
      <c r="K8" t="str">
        <f t="shared" si="2"/>
        <v>PRIMERA PARTE</v>
      </c>
      <c r="L8" s="86">
        <f t="shared" si="3"/>
        <v>68500</v>
      </c>
      <c r="M8" s="93">
        <f t="shared" si="4"/>
        <v>2140.625</v>
      </c>
      <c r="N8" s="23" t="str">
        <f t="shared" si="5"/>
        <v>PERJUDICADO</v>
      </c>
    </row>
    <row r="9" spans="2:14" x14ac:dyDescent="0.3">
      <c r="B9" s="13" t="s">
        <v>178</v>
      </c>
      <c r="C9" s="13">
        <v>14</v>
      </c>
      <c r="D9" s="13">
        <v>4</v>
      </c>
      <c r="E9" s="13">
        <v>2</v>
      </c>
      <c r="F9" s="13">
        <v>1</v>
      </c>
      <c r="G9" s="86">
        <f t="shared" si="0"/>
        <v>21</v>
      </c>
      <c r="H9" s="86">
        <f t="shared" si="1"/>
        <v>14</v>
      </c>
      <c r="K9" t="str">
        <f t="shared" si="2"/>
        <v>PRIMERA PARTE</v>
      </c>
      <c r="L9" s="86">
        <f t="shared" si="3"/>
        <v>40000</v>
      </c>
      <c r="M9" s="93">
        <f t="shared" si="4"/>
        <v>1904.7619047619048</v>
      </c>
      <c r="N9" s="23" t="str">
        <f t="shared" si="5"/>
        <v>PERJUDICADO</v>
      </c>
    </row>
    <row r="10" spans="2:14" x14ac:dyDescent="0.3">
      <c r="B10" s="13" t="s">
        <v>179</v>
      </c>
      <c r="C10" s="13">
        <v>11</v>
      </c>
      <c r="D10" s="13">
        <v>5</v>
      </c>
      <c r="E10" s="13">
        <v>0</v>
      </c>
      <c r="F10" s="13">
        <v>0</v>
      </c>
      <c r="G10" s="86">
        <f t="shared" si="0"/>
        <v>16</v>
      </c>
      <c r="H10" s="86">
        <f t="shared" si="1"/>
        <v>11</v>
      </c>
      <c r="K10" t="str">
        <f t="shared" si="2"/>
        <v>PRIMERA PARTE</v>
      </c>
      <c r="L10" s="86">
        <f t="shared" si="3"/>
        <v>31500</v>
      </c>
      <c r="M10" s="93">
        <f t="shared" si="4"/>
        <v>1968.75</v>
      </c>
      <c r="N10" s="23" t="str">
        <f t="shared" si="5"/>
        <v>PERJUDICADO</v>
      </c>
    </row>
    <row r="11" spans="2:14" x14ac:dyDescent="0.3">
      <c r="B11" s="13" t="s">
        <v>180</v>
      </c>
      <c r="C11" s="13">
        <v>8</v>
      </c>
      <c r="D11" s="13">
        <v>11</v>
      </c>
      <c r="E11" s="13">
        <v>2</v>
      </c>
      <c r="F11" s="13">
        <v>2</v>
      </c>
      <c r="G11" s="86">
        <f t="shared" si="0"/>
        <v>23</v>
      </c>
      <c r="H11" s="86">
        <f t="shared" si="1"/>
        <v>11</v>
      </c>
      <c r="K11" t="str">
        <f t="shared" si="2"/>
        <v>PRIMERA PARTE</v>
      </c>
      <c r="L11" s="86">
        <f t="shared" si="3"/>
        <v>54000</v>
      </c>
      <c r="M11" s="93">
        <f t="shared" si="4"/>
        <v>2347.8260869565215</v>
      </c>
      <c r="N11" s="23" t="str">
        <f t="shared" si="5"/>
        <v>BENIFICIADO</v>
      </c>
    </row>
    <row r="12" spans="2:14" x14ac:dyDescent="0.3">
      <c r="B12" s="13" t="s">
        <v>181</v>
      </c>
      <c r="C12" s="13">
        <v>8</v>
      </c>
      <c r="D12" s="13">
        <v>7</v>
      </c>
      <c r="E12" s="13">
        <v>1</v>
      </c>
      <c r="F12" s="13">
        <v>1</v>
      </c>
      <c r="G12" s="86">
        <f t="shared" si="0"/>
        <v>17</v>
      </c>
      <c r="H12" s="86">
        <f t="shared" si="1"/>
        <v>8</v>
      </c>
      <c r="K12" t="str">
        <f t="shared" si="2"/>
        <v>PRIMERA PARTE</v>
      </c>
      <c r="L12" s="86">
        <f t="shared" si="3"/>
        <v>37500</v>
      </c>
      <c r="M12" s="93">
        <f t="shared" si="4"/>
        <v>2205.8823529411766</v>
      </c>
      <c r="N12" s="23" t="str">
        <f t="shared" si="5"/>
        <v>BENIFICIADO</v>
      </c>
    </row>
    <row r="13" spans="2:14" x14ac:dyDescent="0.3">
      <c r="B13" s="13" t="s">
        <v>182</v>
      </c>
      <c r="C13" s="13">
        <v>0</v>
      </c>
      <c r="D13" s="13">
        <v>0</v>
      </c>
      <c r="E13" s="13">
        <v>4</v>
      </c>
      <c r="F13" s="13">
        <v>0</v>
      </c>
      <c r="G13" s="86">
        <f t="shared" si="0"/>
        <v>4</v>
      </c>
      <c r="H13" s="86">
        <f t="shared" si="1"/>
        <v>4</v>
      </c>
      <c r="K13" t="str">
        <f t="shared" si="2"/>
        <v>SEGUNDA PARTE</v>
      </c>
      <c r="L13" s="86">
        <f t="shared" si="3"/>
        <v>10000</v>
      </c>
      <c r="M13" s="93">
        <f t="shared" si="4"/>
        <v>2500</v>
      </c>
      <c r="N13" s="23" t="str">
        <f t="shared" si="5"/>
        <v>BENIFICIADO</v>
      </c>
    </row>
    <row r="14" spans="2:14" x14ac:dyDescent="0.3">
      <c r="B14" s="13" t="s">
        <v>183</v>
      </c>
      <c r="C14" s="13">
        <v>7</v>
      </c>
      <c r="D14" s="13">
        <v>4</v>
      </c>
      <c r="E14" s="13">
        <v>0</v>
      </c>
      <c r="F14" s="13">
        <v>0</v>
      </c>
      <c r="G14" s="86">
        <f t="shared" si="0"/>
        <v>11</v>
      </c>
      <c r="H14" s="86">
        <f t="shared" si="1"/>
        <v>7</v>
      </c>
      <c r="K14" t="str">
        <f t="shared" si="2"/>
        <v>PRIMERA PARTE</v>
      </c>
      <c r="L14" s="86">
        <f t="shared" si="3"/>
        <v>22500</v>
      </c>
      <c r="M14" s="93">
        <f t="shared" si="4"/>
        <v>2045.4545454545455</v>
      </c>
      <c r="N14" s="23" t="str">
        <f t="shared" si="5"/>
        <v>PERJUDICADO</v>
      </c>
    </row>
    <row r="15" spans="2:14" x14ac:dyDescent="0.3">
      <c r="B15" s="13" t="s">
        <v>184</v>
      </c>
      <c r="C15" s="13">
        <v>0</v>
      </c>
      <c r="D15" s="13">
        <v>0</v>
      </c>
      <c r="E15" s="13">
        <v>3</v>
      </c>
      <c r="F15" s="13">
        <v>1</v>
      </c>
      <c r="G15" s="86">
        <f t="shared" si="0"/>
        <v>4</v>
      </c>
      <c r="H15" s="86">
        <f t="shared" si="1"/>
        <v>3</v>
      </c>
      <c r="K15" t="str">
        <f t="shared" si="2"/>
        <v>SEGUNDA PARTE</v>
      </c>
      <c r="L15" s="86">
        <f t="shared" si="3"/>
        <v>9500</v>
      </c>
      <c r="M15" s="93">
        <f t="shared" si="4"/>
        <v>2375</v>
      </c>
      <c r="N15" s="23" t="str">
        <f t="shared" si="5"/>
        <v>BENIFICIADO</v>
      </c>
    </row>
    <row r="16" spans="2:14" x14ac:dyDescent="0.3">
      <c r="B16" s="13" t="s">
        <v>185</v>
      </c>
      <c r="C16" s="13">
        <v>6</v>
      </c>
      <c r="D16" s="13">
        <v>5</v>
      </c>
      <c r="E16" s="13">
        <v>2</v>
      </c>
      <c r="F16" s="13">
        <v>3</v>
      </c>
      <c r="G16" s="86">
        <f t="shared" si="0"/>
        <v>16</v>
      </c>
      <c r="H16" s="86">
        <f t="shared" si="1"/>
        <v>6</v>
      </c>
      <c r="K16" t="str">
        <f t="shared" si="2"/>
        <v>PRIMERA PARTE</v>
      </c>
      <c r="L16" s="86">
        <f t="shared" si="3"/>
        <v>35000</v>
      </c>
      <c r="M16" s="93">
        <f t="shared" si="4"/>
        <v>2187.5</v>
      </c>
      <c r="N16" s="23" t="str">
        <f t="shared" si="5"/>
        <v>BENIFICIADO</v>
      </c>
    </row>
    <row r="17" spans="2:14" x14ac:dyDescent="0.3">
      <c r="B17" s="13" t="s">
        <v>186</v>
      </c>
      <c r="C17" s="13">
        <v>6</v>
      </c>
      <c r="D17" s="13">
        <v>4</v>
      </c>
      <c r="E17" s="13">
        <v>2</v>
      </c>
      <c r="F17" s="13">
        <v>0</v>
      </c>
      <c r="G17" s="86">
        <f t="shared" si="0"/>
        <v>12</v>
      </c>
      <c r="H17" s="86">
        <f t="shared" si="1"/>
        <v>6</v>
      </c>
      <c r="K17" t="str">
        <f t="shared" si="2"/>
        <v>PRIMERA PARTE</v>
      </c>
      <c r="L17" s="86">
        <f t="shared" si="3"/>
        <v>26000</v>
      </c>
      <c r="M17" s="93">
        <f t="shared" si="4"/>
        <v>2166.6666666666665</v>
      </c>
      <c r="N17" s="23" t="str">
        <f t="shared" si="5"/>
        <v>BENIFICIADO</v>
      </c>
    </row>
    <row r="18" spans="2:14" x14ac:dyDescent="0.3">
      <c r="M18" s="93"/>
    </row>
    <row r="19" spans="2:14" x14ac:dyDescent="0.3">
      <c r="M19" s="93">
        <f>SUM(M6:M17)/12</f>
        <v>2159.7066428896292</v>
      </c>
    </row>
    <row r="20" spans="2:14" x14ac:dyDescent="0.3">
      <c r="F20" t="s">
        <v>197</v>
      </c>
    </row>
  </sheetData>
  <mergeCells count="5">
    <mergeCell ref="F2:F5"/>
    <mergeCell ref="B2:B5"/>
    <mergeCell ref="C2:C5"/>
    <mergeCell ref="D2:D5"/>
    <mergeCell ref="E2:E5"/>
  </mergeCells>
  <conditionalFormatting sqref="C6:F17">
    <cfRule type="expression" dxfId="11" priority="3">
      <formula>"max($F$5:$I$5)"</formula>
    </cfRule>
  </conditionalFormatting>
  <conditionalFormatting sqref="N6:N17">
    <cfRule type="containsText" dxfId="10" priority="1" operator="containsText" text="PERJUDICADO">
      <formula>NOT(ISERROR(SEARCH("PERJUDICADO",N6)))</formula>
    </cfRule>
    <cfRule type="containsText" dxfId="9" priority="2" operator="containsText" text="BENIFICIADO">
      <formula>NOT(ISERROR(SEARCH("BENIFICIADO",N6)))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7030A0"/>
  </sheetPr>
  <dimension ref="A1:M21"/>
  <sheetViews>
    <sheetView zoomScale="70" zoomScaleNormal="70" workbookViewId="0">
      <selection activeCell="M22" sqref="M22"/>
    </sheetView>
  </sheetViews>
  <sheetFormatPr baseColWidth="10" defaultRowHeight="14.4" x14ac:dyDescent="0.3"/>
  <cols>
    <col min="1" max="1" width="12.109375" customWidth="1"/>
    <col min="2" max="5" width="8.6640625" customWidth="1"/>
    <col min="8" max="8" width="15.6640625" customWidth="1"/>
    <col min="9" max="9" width="14" customWidth="1"/>
    <col min="10" max="10" width="16.33203125" customWidth="1"/>
    <col min="11" max="11" width="29.88671875" customWidth="1"/>
    <col min="12" max="12" width="37.6640625" customWidth="1"/>
    <col min="13" max="13" width="35.5546875" customWidth="1"/>
  </cols>
  <sheetData>
    <row r="1" spans="1:13" ht="15" thickBot="1" x14ac:dyDescent="0.35">
      <c r="A1" s="96"/>
      <c r="B1" s="97" t="s">
        <v>213</v>
      </c>
      <c r="C1" s="98" t="s">
        <v>214</v>
      </c>
      <c r="D1" s="98" t="s">
        <v>215</v>
      </c>
      <c r="E1" s="98" t="s">
        <v>216</v>
      </c>
      <c r="F1" s="98" t="s">
        <v>217</v>
      </c>
      <c r="G1" s="98" t="s">
        <v>220</v>
      </c>
      <c r="H1" s="98" t="s">
        <v>221</v>
      </c>
      <c r="I1" s="98" t="s">
        <v>226</v>
      </c>
      <c r="J1" s="99" t="s">
        <v>109</v>
      </c>
      <c r="K1" s="111" t="s">
        <v>238</v>
      </c>
      <c r="L1" s="112" t="s">
        <v>239</v>
      </c>
      <c r="M1" s="113" t="s">
        <v>240</v>
      </c>
    </row>
    <row r="2" spans="1:13" x14ac:dyDescent="0.3">
      <c r="A2" s="100" t="s">
        <v>198</v>
      </c>
      <c r="B2" s="101">
        <v>7</v>
      </c>
      <c r="C2" s="102">
        <v>4</v>
      </c>
      <c r="D2" s="102">
        <v>8</v>
      </c>
      <c r="E2" s="102">
        <v>7</v>
      </c>
      <c r="F2" s="102" t="s">
        <v>218</v>
      </c>
      <c r="G2" s="102" t="s">
        <v>218</v>
      </c>
      <c r="H2" s="102" t="str">
        <f>IF(B2&lt;=8,"Saludable",IF(B2&lt;=11,"Tolerable","Nocivo"))</f>
        <v>Saludable</v>
      </c>
      <c r="I2" s="102" t="str">
        <f>IF(AND(F2="NO",G2="SÍ"),"PREOCUPANTE",IF(AND(F2="SÍ",G2="SÍ"),"INDIFERENTE","CUIDATE"))</f>
        <v>CUIDATE</v>
      </c>
      <c r="J2" s="103" t="str">
        <f t="shared" ref="J2:J16" si="0">IF(AND(D2&lt;=8,E2&gt;=5),$L$18,IF(AND(D2&gt;8,E2&gt;5),$L$19,IF(AND(D2&lt;=8,E2&lt;5),$L$20,$L$21)))</f>
        <v>MAZAPANES</v>
      </c>
      <c r="K2" s="86" t="str">
        <f>IF(AND(F2="N0",G2="N0"),"SÍ","NO")</f>
        <v>SÍ</v>
      </c>
      <c r="L2" s="86" t="str">
        <f>IF(AND(F2="SÍ",G2="SÍ"),"SÍ","NO")</f>
        <v>NO</v>
      </c>
      <c r="M2" s="86" t="str">
        <f>IF(OR(F2="SÍ",G2="SÍ"),"SÍ","NO")</f>
        <v>NO</v>
      </c>
    </row>
    <row r="3" spans="1:13" x14ac:dyDescent="0.3">
      <c r="A3" s="100" t="s">
        <v>199</v>
      </c>
      <c r="B3" s="104">
        <v>14</v>
      </c>
      <c r="C3" s="105">
        <v>2</v>
      </c>
      <c r="D3" s="105">
        <v>6</v>
      </c>
      <c r="E3" s="105">
        <v>6</v>
      </c>
      <c r="F3" s="105" t="s">
        <v>218</v>
      </c>
      <c r="G3" s="105" t="s">
        <v>219</v>
      </c>
      <c r="H3" s="105" t="str">
        <f t="shared" ref="H3:H16" si="1">IF(B3&lt;=8,"Saludable",IF(B3&lt;=11,"Tolerable","Nocivo"))</f>
        <v>Nocivo</v>
      </c>
      <c r="I3" s="105" t="str">
        <f>IF(AND(F3="N0",G3="SÍ"),"PREOCUPANTE",IF(AND(F3="SÍ",G3="SÍ"),"INDIFERENTE","CUIDATE"))</f>
        <v>PREOCUPANTE</v>
      </c>
      <c r="J3" s="106" t="str">
        <f t="shared" si="0"/>
        <v>MAZAPANES</v>
      </c>
      <c r="K3" s="86" t="str">
        <f t="shared" ref="K3:K16" si="2">IF(AND(F3="N0",G3="N0"),"SÍ","NO")</f>
        <v>NO</v>
      </c>
      <c r="L3" s="86" t="str">
        <f t="shared" ref="L3:L16" si="3">IF(AND(F3="SÍ",G3="SÍ"),"SÍ","NO")</f>
        <v>NO</v>
      </c>
      <c r="M3" s="86" t="str">
        <f t="shared" ref="M3:M16" si="4">IF(OR(F3="SÍ",G3="SÍ"),"SÍ","NO")</f>
        <v>SÍ</v>
      </c>
    </row>
    <row r="4" spans="1:13" x14ac:dyDescent="0.3">
      <c r="A4" s="100" t="s">
        <v>200</v>
      </c>
      <c r="B4" s="104">
        <v>12</v>
      </c>
      <c r="C4" s="105">
        <v>4</v>
      </c>
      <c r="D4" s="105">
        <v>8</v>
      </c>
      <c r="E4" s="105">
        <v>5</v>
      </c>
      <c r="F4" s="105" t="s">
        <v>219</v>
      </c>
      <c r="G4" s="105" t="s">
        <v>218</v>
      </c>
      <c r="H4" s="105" t="str">
        <f t="shared" si="1"/>
        <v>Nocivo</v>
      </c>
      <c r="I4" s="105" t="str">
        <f t="shared" ref="I4:I16" si="5">IF(AND(F4="NO",G4="SÍ"),"PREOCUPANTE",IF(AND(F4="SÍ",G4="SÍ"),"INDIFERENTE","CUIDATE"))</f>
        <v>CUIDATE</v>
      </c>
      <c r="J4" s="106" t="str">
        <f t="shared" si="0"/>
        <v>MAZAPANES</v>
      </c>
      <c r="K4" s="86" t="str">
        <f t="shared" si="2"/>
        <v>NO</v>
      </c>
      <c r="L4" s="86" t="str">
        <f t="shared" si="3"/>
        <v>NO</v>
      </c>
      <c r="M4" s="86" t="str">
        <f t="shared" si="4"/>
        <v>SÍ</v>
      </c>
    </row>
    <row r="5" spans="1:13" x14ac:dyDescent="0.3">
      <c r="A5" s="100" t="s">
        <v>201</v>
      </c>
      <c r="B5" s="104">
        <v>14</v>
      </c>
      <c r="C5" s="105">
        <v>2</v>
      </c>
      <c r="D5" s="105">
        <v>9</v>
      </c>
      <c r="E5" s="105">
        <v>6</v>
      </c>
      <c r="F5" s="105" t="s">
        <v>219</v>
      </c>
      <c r="G5" s="105" t="s">
        <v>218</v>
      </c>
      <c r="H5" s="105" t="str">
        <f t="shared" si="1"/>
        <v>Nocivo</v>
      </c>
      <c r="I5" s="105" t="str">
        <f t="shared" si="5"/>
        <v>CUIDATE</v>
      </c>
      <c r="J5" s="106" t="str">
        <f t="shared" si="0"/>
        <v>POLVORONES</v>
      </c>
      <c r="K5" s="86" t="str">
        <f t="shared" si="2"/>
        <v>NO</v>
      </c>
      <c r="L5" s="86" t="str">
        <f t="shared" si="3"/>
        <v>NO</v>
      </c>
      <c r="M5" s="86" t="str">
        <f t="shared" si="4"/>
        <v>SÍ</v>
      </c>
    </row>
    <row r="6" spans="1:13" x14ac:dyDescent="0.3">
      <c r="A6" s="100" t="s">
        <v>202</v>
      </c>
      <c r="B6" s="104">
        <v>5</v>
      </c>
      <c r="C6" s="105">
        <v>3</v>
      </c>
      <c r="D6" s="105">
        <v>7</v>
      </c>
      <c r="E6" s="105">
        <v>7</v>
      </c>
      <c r="F6" s="105" t="s">
        <v>219</v>
      </c>
      <c r="G6" s="105" t="s">
        <v>218</v>
      </c>
      <c r="H6" s="105" t="str">
        <f t="shared" si="1"/>
        <v>Saludable</v>
      </c>
      <c r="I6" s="105" t="str">
        <f t="shared" si="5"/>
        <v>CUIDATE</v>
      </c>
      <c r="J6" s="106" t="str">
        <f t="shared" si="0"/>
        <v>MAZAPANES</v>
      </c>
      <c r="K6" s="86" t="str">
        <f t="shared" si="2"/>
        <v>NO</v>
      </c>
      <c r="L6" s="86" t="str">
        <f t="shared" si="3"/>
        <v>NO</v>
      </c>
      <c r="M6" s="86" t="str">
        <f t="shared" si="4"/>
        <v>SÍ</v>
      </c>
    </row>
    <row r="7" spans="1:13" x14ac:dyDescent="0.3">
      <c r="A7" s="100" t="s">
        <v>203</v>
      </c>
      <c r="B7" s="104">
        <v>11</v>
      </c>
      <c r="C7" s="105">
        <v>1</v>
      </c>
      <c r="D7" s="105">
        <v>10</v>
      </c>
      <c r="E7" s="105">
        <v>7</v>
      </c>
      <c r="F7" s="105" t="s">
        <v>218</v>
      </c>
      <c r="G7" s="105" t="s">
        <v>219</v>
      </c>
      <c r="H7" s="105" t="str">
        <f t="shared" si="1"/>
        <v>Tolerable</v>
      </c>
      <c r="I7" s="105" t="str">
        <f t="shared" si="5"/>
        <v>CUIDATE</v>
      </c>
      <c r="J7" s="106" t="str">
        <f t="shared" si="0"/>
        <v>POLVORONES</v>
      </c>
      <c r="K7" s="86" t="str">
        <f t="shared" si="2"/>
        <v>NO</v>
      </c>
      <c r="L7" s="86" t="str">
        <f t="shared" si="3"/>
        <v>NO</v>
      </c>
      <c r="M7" s="86" t="str">
        <f t="shared" si="4"/>
        <v>SÍ</v>
      </c>
    </row>
    <row r="8" spans="1:13" x14ac:dyDescent="0.3">
      <c r="A8" s="100" t="s">
        <v>204</v>
      </c>
      <c r="B8" s="104">
        <v>13</v>
      </c>
      <c r="C8" s="105">
        <v>1</v>
      </c>
      <c r="D8" s="105">
        <v>5</v>
      </c>
      <c r="E8" s="105">
        <v>8</v>
      </c>
      <c r="F8" s="105" t="s">
        <v>218</v>
      </c>
      <c r="G8" s="105" t="s">
        <v>219</v>
      </c>
      <c r="H8" s="105" t="str">
        <f t="shared" si="1"/>
        <v>Nocivo</v>
      </c>
      <c r="I8" s="105" t="str">
        <f t="shared" si="5"/>
        <v>CUIDATE</v>
      </c>
      <c r="J8" s="106" t="str">
        <f t="shared" si="0"/>
        <v>MAZAPANES</v>
      </c>
      <c r="K8" s="86" t="str">
        <f t="shared" si="2"/>
        <v>NO</v>
      </c>
      <c r="L8" s="86" t="str">
        <f t="shared" si="3"/>
        <v>NO</v>
      </c>
      <c r="M8" s="86" t="str">
        <f t="shared" si="4"/>
        <v>SÍ</v>
      </c>
    </row>
    <row r="9" spans="1:13" x14ac:dyDescent="0.3">
      <c r="A9" s="100" t="s">
        <v>205</v>
      </c>
      <c r="B9" s="104">
        <v>13</v>
      </c>
      <c r="C9" s="105">
        <v>2</v>
      </c>
      <c r="D9" s="105">
        <v>6</v>
      </c>
      <c r="E9" s="105">
        <v>7</v>
      </c>
      <c r="F9" s="105" t="s">
        <v>218</v>
      </c>
      <c r="G9" s="105" t="s">
        <v>218</v>
      </c>
      <c r="H9" s="105" t="str">
        <f t="shared" si="1"/>
        <v>Nocivo</v>
      </c>
      <c r="I9" s="105" t="str">
        <f t="shared" si="5"/>
        <v>CUIDATE</v>
      </c>
      <c r="J9" s="106" t="str">
        <f t="shared" si="0"/>
        <v>MAZAPANES</v>
      </c>
      <c r="K9" s="86" t="str">
        <f t="shared" si="2"/>
        <v>SÍ</v>
      </c>
      <c r="L9" s="86" t="str">
        <f t="shared" si="3"/>
        <v>NO</v>
      </c>
      <c r="M9" s="86" t="str">
        <f t="shared" si="4"/>
        <v>NO</v>
      </c>
    </row>
    <row r="10" spans="1:13" x14ac:dyDescent="0.3">
      <c r="A10" s="100" t="s">
        <v>206</v>
      </c>
      <c r="B10" s="104">
        <v>12</v>
      </c>
      <c r="C10" s="105">
        <v>3</v>
      </c>
      <c r="D10" s="105">
        <v>7</v>
      </c>
      <c r="E10" s="105">
        <v>5</v>
      </c>
      <c r="F10" s="105" t="s">
        <v>218</v>
      </c>
      <c r="G10" s="105" t="s">
        <v>219</v>
      </c>
      <c r="H10" s="105" t="str">
        <f t="shared" si="1"/>
        <v>Nocivo</v>
      </c>
      <c r="I10" s="105" t="str">
        <f t="shared" si="5"/>
        <v>CUIDATE</v>
      </c>
      <c r="J10" s="106" t="str">
        <f t="shared" si="0"/>
        <v>MAZAPANES</v>
      </c>
      <c r="K10" s="86" t="str">
        <f t="shared" si="2"/>
        <v>NO</v>
      </c>
      <c r="L10" s="86" t="str">
        <f t="shared" si="3"/>
        <v>NO</v>
      </c>
      <c r="M10" s="86" t="str">
        <f t="shared" si="4"/>
        <v>SÍ</v>
      </c>
    </row>
    <row r="11" spans="1:13" x14ac:dyDescent="0.3">
      <c r="A11" s="100" t="s">
        <v>207</v>
      </c>
      <c r="B11" s="104">
        <v>15</v>
      </c>
      <c r="C11" s="105">
        <v>3</v>
      </c>
      <c r="D11" s="105">
        <v>10</v>
      </c>
      <c r="E11" s="105">
        <v>4</v>
      </c>
      <c r="F11" s="105" t="s">
        <v>218</v>
      </c>
      <c r="G11" s="105" t="s">
        <v>218</v>
      </c>
      <c r="H11" s="105" t="str">
        <f t="shared" si="1"/>
        <v>Nocivo</v>
      </c>
      <c r="I11" s="105" t="str">
        <f t="shared" si="5"/>
        <v>CUIDATE</v>
      </c>
      <c r="J11" s="106" t="str">
        <f t="shared" si="0"/>
        <v>CHAMPÁN</v>
      </c>
      <c r="K11" s="86" t="str">
        <f t="shared" si="2"/>
        <v>SÍ</v>
      </c>
      <c r="L11" s="86" t="str">
        <f t="shared" si="3"/>
        <v>NO</v>
      </c>
      <c r="M11" s="86" t="str">
        <f t="shared" si="4"/>
        <v>NO</v>
      </c>
    </row>
    <row r="12" spans="1:13" x14ac:dyDescent="0.3">
      <c r="A12" s="100" t="s">
        <v>208</v>
      </c>
      <c r="B12" s="104">
        <v>7</v>
      </c>
      <c r="C12" s="105">
        <v>2</v>
      </c>
      <c r="D12" s="105">
        <v>7</v>
      </c>
      <c r="E12" s="105">
        <v>6</v>
      </c>
      <c r="F12" s="105" t="s">
        <v>219</v>
      </c>
      <c r="G12" s="105" t="s">
        <v>218</v>
      </c>
      <c r="H12" s="105" t="str">
        <f t="shared" si="1"/>
        <v>Saludable</v>
      </c>
      <c r="I12" s="105" t="str">
        <f t="shared" si="5"/>
        <v>CUIDATE</v>
      </c>
      <c r="J12" s="106" t="str">
        <f t="shared" si="0"/>
        <v>MAZAPANES</v>
      </c>
      <c r="K12" s="86" t="str">
        <f t="shared" si="2"/>
        <v>NO</v>
      </c>
      <c r="L12" s="86" t="str">
        <f t="shared" si="3"/>
        <v>NO</v>
      </c>
      <c r="M12" s="86" t="str">
        <f t="shared" si="4"/>
        <v>SÍ</v>
      </c>
    </row>
    <row r="13" spans="1:13" x14ac:dyDescent="0.3">
      <c r="A13" s="100" t="s">
        <v>209</v>
      </c>
      <c r="B13" s="104">
        <v>12</v>
      </c>
      <c r="C13" s="105">
        <v>1</v>
      </c>
      <c r="D13" s="105">
        <v>5</v>
      </c>
      <c r="E13" s="105">
        <v>5</v>
      </c>
      <c r="F13" s="105" t="s">
        <v>219</v>
      </c>
      <c r="G13" s="105" t="s">
        <v>219</v>
      </c>
      <c r="H13" s="105" t="str">
        <f t="shared" si="1"/>
        <v>Nocivo</v>
      </c>
      <c r="I13" s="105" t="str">
        <f t="shared" si="5"/>
        <v>INDIFERENTE</v>
      </c>
      <c r="J13" s="106" t="str">
        <f t="shared" si="0"/>
        <v>MAZAPANES</v>
      </c>
      <c r="K13" s="86" t="str">
        <f t="shared" si="2"/>
        <v>NO</v>
      </c>
      <c r="L13" s="86" t="str">
        <f t="shared" si="3"/>
        <v>SÍ</v>
      </c>
      <c r="M13" s="86" t="str">
        <f t="shared" si="4"/>
        <v>SÍ</v>
      </c>
    </row>
    <row r="14" spans="1:13" x14ac:dyDescent="0.3">
      <c r="A14" s="100" t="s">
        <v>210</v>
      </c>
      <c r="B14" s="104">
        <v>12</v>
      </c>
      <c r="C14" s="105">
        <v>1</v>
      </c>
      <c r="D14" s="105">
        <v>6</v>
      </c>
      <c r="E14" s="105">
        <v>3</v>
      </c>
      <c r="F14" s="105" t="s">
        <v>219</v>
      </c>
      <c r="G14" s="105" t="s">
        <v>219</v>
      </c>
      <c r="H14" s="105" t="str">
        <f t="shared" si="1"/>
        <v>Nocivo</v>
      </c>
      <c r="I14" s="105" t="str">
        <f t="shared" si="5"/>
        <v>INDIFERENTE</v>
      </c>
      <c r="J14" s="106" t="str">
        <f t="shared" si="0"/>
        <v>SIDRA</v>
      </c>
      <c r="K14" s="86" t="str">
        <f t="shared" si="2"/>
        <v>NO</v>
      </c>
      <c r="L14" s="86" t="str">
        <f t="shared" si="3"/>
        <v>SÍ</v>
      </c>
      <c r="M14" s="86" t="str">
        <f t="shared" si="4"/>
        <v>SÍ</v>
      </c>
    </row>
    <row r="15" spans="1:13" x14ac:dyDescent="0.3">
      <c r="A15" s="100" t="s">
        <v>211</v>
      </c>
      <c r="B15" s="104">
        <v>6</v>
      </c>
      <c r="C15" s="105">
        <v>2</v>
      </c>
      <c r="D15" s="105">
        <v>9</v>
      </c>
      <c r="E15" s="105">
        <v>5</v>
      </c>
      <c r="F15" s="105" t="s">
        <v>218</v>
      </c>
      <c r="G15" s="105" t="s">
        <v>219</v>
      </c>
      <c r="H15" s="105" t="str">
        <f t="shared" si="1"/>
        <v>Saludable</v>
      </c>
      <c r="I15" s="105" t="str">
        <f t="shared" si="5"/>
        <v>CUIDATE</v>
      </c>
      <c r="J15" s="106" t="str">
        <f t="shared" si="0"/>
        <v>CHAMPÁN</v>
      </c>
      <c r="K15" s="86" t="str">
        <f t="shared" si="2"/>
        <v>NO</v>
      </c>
      <c r="L15" s="86" t="str">
        <f t="shared" si="3"/>
        <v>NO</v>
      </c>
      <c r="M15" s="86" t="str">
        <f t="shared" si="4"/>
        <v>SÍ</v>
      </c>
    </row>
    <row r="16" spans="1:13" ht="15" thickBot="1" x14ac:dyDescent="0.35">
      <c r="A16" s="100" t="s">
        <v>212</v>
      </c>
      <c r="B16" s="107">
        <v>7</v>
      </c>
      <c r="C16" s="108">
        <v>4</v>
      </c>
      <c r="D16" s="108">
        <v>10</v>
      </c>
      <c r="E16" s="108">
        <v>3</v>
      </c>
      <c r="F16" s="108" t="s">
        <v>218</v>
      </c>
      <c r="G16" s="108" t="s">
        <v>218</v>
      </c>
      <c r="H16" s="108" t="str">
        <f t="shared" si="1"/>
        <v>Saludable</v>
      </c>
      <c r="I16" s="108" t="str">
        <f t="shared" si="5"/>
        <v>CUIDATE</v>
      </c>
      <c r="J16" s="109" t="str">
        <f t="shared" si="0"/>
        <v>CHAMPÁN</v>
      </c>
      <c r="K16" s="86" t="str">
        <f t="shared" si="2"/>
        <v>SÍ</v>
      </c>
      <c r="L16" s="86" t="str">
        <f t="shared" si="3"/>
        <v>NO</v>
      </c>
      <c r="M16" s="86" t="str">
        <f t="shared" si="4"/>
        <v>NO</v>
      </c>
    </row>
    <row r="18" spans="7:12" x14ac:dyDescent="0.3">
      <c r="G18" s="94" t="s">
        <v>225</v>
      </c>
      <c r="H18" s="95" t="s">
        <v>222</v>
      </c>
      <c r="J18" t="s">
        <v>227</v>
      </c>
      <c r="K18" s="86" t="s">
        <v>230</v>
      </c>
      <c r="L18" s="110" t="s">
        <v>234</v>
      </c>
    </row>
    <row r="19" spans="7:12" x14ac:dyDescent="0.3">
      <c r="G19" s="95">
        <v>9.11</v>
      </c>
      <c r="H19" s="95" t="s">
        <v>223</v>
      </c>
      <c r="J19" t="s">
        <v>229</v>
      </c>
      <c r="K19" s="86" t="s">
        <v>231</v>
      </c>
      <c r="L19" s="110" t="s">
        <v>235</v>
      </c>
    </row>
    <row r="20" spans="7:12" x14ac:dyDescent="0.3">
      <c r="G20" s="95">
        <v>12.15</v>
      </c>
      <c r="H20" s="95" t="s">
        <v>224</v>
      </c>
      <c r="J20" t="s">
        <v>228</v>
      </c>
      <c r="K20" s="86" t="s">
        <v>232</v>
      </c>
      <c r="L20" s="110" t="s">
        <v>236</v>
      </c>
    </row>
    <row r="21" spans="7:12" x14ac:dyDescent="0.3">
      <c r="K21" s="86" t="s">
        <v>233</v>
      </c>
      <c r="L21" s="110" t="s">
        <v>237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20"/>
  <sheetViews>
    <sheetView topLeftCell="B1" zoomScale="98" zoomScaleNormal="98" workbookViewId="0">
      <selection activeCell="R14" sqref="R14"/>
    </sheetView>
  </sheetViews>
  <sheetFormatPr baseColWidth="10" defaultRowHeight="14.4" x14ac:dyDescent="0.3"/>
  <cols>
    <col min="5" max="5" width="1.6640625" customWidth="1"/>
    <col min="12" max="12" width="1.6640625" customWidth="1"/>
    <col min="19" max="19" width="1.6640625" customWidth="1"/>
  </cols>
  <sheetData>
    <row r="1" spans="1:20" x14ac:dyDescent="0.3">
      <c r="A1" s="114" t="s">
        <v>241</v>
      </c>
      <c r="B1" s="114" t="s">
        <v>242</v>
      </c>
      <c r="C1" s="114" t="s">
        <v>243</v>
      </c>
      <c r="D1" s="114" t="s">
        <v>244</v>
      </c>
      <c r="E1" s="133"/>
      <c r="F1" s="114" t="s">
        <v>245</v>
      </c>
      <c r="H1" s="114" t="s">
        <v>241</v>
      </c>
      <c r="I1" s="114" t="s">
        <v>242</v>
      </c>
      <c r="J1" s="114" t="s">
        <v>243</v>
      </c>
      <c r="K1" s="114" t="s">
        <v>244</v>
      </c>
      <c r="L1" s="133"/>
      <c r="M1" s="114" t="s">
        <v>245</v>
      </c>
      <c r="O1" s="114" t="s">
        <v>241</v>
      </c>
      <c r="P1" s="114" t="s">
        <v>242</v>
      </c>
      <c r="Q1" s="114" t="s">
        <v>243</v>
      </c>
      <c r="R1" s="114" t="s">
        <v>244</v>
      </c>
      <c r="S1" s="133"/>
      <c r="T1" s="114" t="s">
        <v>245</v>
      </c>
    </row>
    <row r="2" spans="1:20" x14ac:dyDescent="0.3">
      <c r="A2" s="13">
        <v>0</v>
      </c>
      <c r="B2" s="13">
        <v>0</v>
      </c>
      <c r="C2" s="13">
        <v>0</v>
      </c>
      <c r="D2" s="13">
        <v>1</v>
      </c>
      <c r="F2" s="13">
        <f>IF(OR(B2=0,AND(A2=1,C2=0)),1,0)</f>
        <v>1</v>
      </c>
      <c r="H2" s="13">
        <v>0</v>
      </c>
      <c r="I2" s="13">
        <v>0</v>
      </c>
      <c r="J2" s="13">
        <v>0</v>
      </c>
      <c r="K2" s="13">
        <v>0</v>
      </c>
      <c r="M2" s="13">
        <f>IF(OR(AND(H2=0,J2=1),AND(I2=1,J2=0)),1,0)</f>
        <v>0</v>
      </c>
      <c r="O2" s="13">
        <v>0</v>
      </c>
      <c r="P2" s="13">
        <v>0</v>
      </c>
      <c r="Q2" s="13">
        <v>0</v>
      </c>
      <c r="R2" s="141">
        <v>1</v>
      </c>
      <c r="T2" s="13" t="str">
        <f>IF(OR(AND(O2=0,P2=0),AND(P2=0,Q2=1),AND(O2=0,Q2=1),AND(O2=1,P2=1,Q2=0)),"1","0")</f>
        <v>1</v>
      </c>
    </row>
    <row r="3" spans="1:20" x14ac:dyDescent="0.3">
      <c r="A3" s="13">
        <v>0</v>
      </c>
      <c r="B3" s="13">
        <v>0</v>
      </c>
      <c r="C3" s="13">
        <v>1</v>
      </c>
      <c r="D3" s="13">
        <v>1</v>
      </c>
      <c r="F3" s="13">
        <f t="shared" ref="F3:F9" si="0">IF(OR(B3=0,AND(A3=1,C3=0)),1,0)</f>
        <v>1</v>
      </c>
      <c r="H3" s="13">
        <v>0</v>
      </c>
      <c r="I3" s="13">
        <v>0</v>
      </c>
      <c r="J3" s="13">
        <v>1</v>
      </c>
      <c r="K3" s="13">
        <v>1</v>
      </c>
      <c r="M3" s="13">
        <f t="shared" ref="M3:M9" si="1">IF(OR(AND(H3=0,J3=1),AND(I3=1,J3=0)),1,0)</f>
        <v>1</v>
      </c>
      <c r="O3" s="13">
        <v>0</v>
      </c>
      <c r="P3" s="13">
        <v>0</v>
      </c>
      <c r="Q3" s="13">
        <v>1</v>
      </c>
      <c r="R3" s="141">
        <v>1</v>
      </c>
      <c r="T3" s="13" t="str">
        <f t="shared" ref="T3:T9" si="2">IF(OR(AND(O3=0,P3=0),AND(P3=0,Q3=1),AND(O3=0,Q3=1),AND(O3=1,P3=1,Q3=0)),"1","0")</f>
        <v>1</v>
      </c>
    </row>
    <row r="4" spans="1:20" x14ac:dyDescent="0.3">
      <c r="A4" s="13">
        <v>0</v>
      </c>
      <c r="B4" s="13">
        <v>1</v>
      </c>
      <c r="C4" s="13">
        <v>0</v>
      </c>
      <c r="D4" s="13">
        <v>0</v>
      </c>
      <c r="F4" s="13">
        <f t="shared" si="0"/>
        <v>0</v>
      </c>
      <c r="H4" s="13">
        <v>0</v>
      </c>
      <c r="I4" s="13">
        <v>1</v>
      </c>
      <c r="J4" s="13">
        <v>0</v>
      </c>
      <c r="K4" s="13">
        <v>1</v>
      </c>
      <c r="M4" s="13">
        <f t="shared" si="1"/>
        <v>1</v>
      </c>
      <c r="O4" s="13">
        <v>0</v>
      </c>
      <c r="P4" s="13">
        <v>1</v>
      </c>
      <c r="Q4" s="13">
        <v>0</v>
      </c>
      <c r="R4" s="141">
        <v>0</v>
      </c>
      <c r="T4" s="13" t="str">
        <f t="shared" si="2"/>
        <v>0</v>
      </c>
    </row>
    <row r="5" spans="1:20" x14ac:dyDescent="0.3">
      <c r="A5" s="13">
        <v>0</v>
      </c>
      <c r="B5" s="13">
        <v>1</v>
      </c>
      <c r="C5" s="13">
        <v>1</v>
      </c>
      <c r="D5" s="13">
        <v>0</v>
      </c>
      <c r="F5" s="13">
        <f t="shared" si="0"/>
        <v>0</v>
      </c>
      <c r="H5" s="13">
        <v>0</v>
      </c>
      <c r="I5" s="13">
        <v>1</v>
      </c>
      <c r="J5" s="13">
        <v>1</v>
      </c>
      <c r="K5" s="13">
        <v>1</v>
      </c>
      <c r="M5" s="13">
        <f t="shared" si="1"/>
        <v>1</v>
      </c>
      <c r="O5" s="13">
        <v>0</v>
      </c>
      <c r="P5" s="13">
        <v>1</v>
      </c>
      <c r="Q5" s="13">
        <v>1</v>
      </c>
      <c r="R5" s="141">
        <v>1</v>
      </c>
      <c r="T5" s="13" t="str">
        <f t="shared" si="2"/>
        <v>1</v>
      </c>
    </row>
    <row r="6" spans="1:20" x14ac:dyDescent="0.3">
      <c r="A6" s="13">
        <v>1</v>
      </c>
      <c r="B6" s="13">
        <v>0</v>
      </c>
      <c r="C6" s="13">
        <v>0</v>
      </c>
      <c r="D6" s="13">
        <v>1</v>
      </c>
      <c r="F6" s="13">
        <f t="shared" si="0"/>
        <v>1</v>
      </c>
      <c r="H6" s="13">
        <v>1</v>
      </c>
      <c r="I6" s="13">
        <v>0</v>
      </c>
      <c r="J6" s="13">
        <v>0</v>
      </c>
      <c r="K6" s="13">
        <v>0</v>
      </c>
      <c r="M6" s="13">
        <f t="shared" si="1"/>
        <v>0</v>
      </c>
      <c r="O6" s="13">
        <v>1</v>
      </c>
      <c r="P6" s="13">
        <v>0</v>
      </c>
      <c r="Q6" s="13">
        <v>0</v>
      </c>
      <c r="R6" s="13">
        <v>0</v>
      </c>
      <c r="T6" s="13" t="str">
        <f t="shared" si="2"/>
        <v>0</v>
      </c>
    </row>
    <row r="7" spans="1:20" x14ac:dyDescent="0.3">
      <c r="A7" s="13">
        <v>1</v>
      </c>
      <c r="B7" s="13">
        <v>0</v>
      </c>
      <c r="C7" s="13">
        <v>1</v>
      </c>
      <c r="D7" s="13">
        <v>1</v>
      </c>
      <c r="F7" s="13">
        <f t="shared" si="0"/>
        <v>1</v>
      </c>
      <c r="H7" s="13">
        <v>1</v>
      </c>
      <c r="I7" s="13">
        <v>0</v>
      </c>
      <c r="J7" s="13">
        <v>1</v>
      </c>
      <c r="K7" s="13">
        <v>0</v>
      </c>
      <c r="M7" s="13">
        <f t="shared" si="1"/>
        <v>0</v>
      </c>
      <c r="O7" s="13">
        <v>1</v>
      </c>
      <c r="P7" s="13">
        <v>0</v>
      </c>
      <c r="Q7" s="13">
        <v>1</v>
      </c>
      <c r="R7" s="13">
        <v>1</v>
      </c>
      <c r="T7" s="13" t="str">
        <f t="shared" si="2"/>
        <v>1</v>
      </c>
    </row>
    <row r="8" spans="1:20" x14ac:dyDescent="0.3">
      <c r="A8" s="13">
        <v>1</v>
      </c>
      <c r="B8" s="13">
        <v>1</v>
      </c>
      <c r="C8" s="13">
        <v>0</v>
      </c>
      <c r="D8" s="13">
        <v>1</v>
      </c>
      <c r="F8" s="13">
        <f t="shared" si="0"/>
        <v>1</v>
      </c>
      <c r="H8" s="13">
        <v>1</v>
      </c>
      <c r="I8" s="13">
        <v>1</v>
      </c>
      <c r="J8" s="13">
        <v>0</v>
      </c>
      <c r="K8" s="13">
        <v>1</v>
      </c>
      <c r="M8" s="13">
        <f t="shared" si="1"/>
        <v>1</v>
      </c>
      <c r="O8" s="13">
        <v>1</v>
      </c>
      <c r="P8" s="13">
        <v>1</v>
      </c>
      <c r="Q8" s="13">
        <v>0</v>
      </c>
      <c r="R8" s="13">
        <v>1</v>
      </c>
      <c r="T8" s="13" t="str">
        <f t="shared" si="2"/>
        <v>1</v>
      </c>
    </row>
    <row r="9" spans="1:20" x14ac:dyDescent="0.3">
      <c r="A9" s="13">
        <v>1</v>
      </c>
      <c r="B9" s="13">
        <v>1</v>
      </c>
      <c r="C9" s="13">
        <v>1</v>
      </c>
      <c r="D9" s="13">
        <v>0</v>
      </c>
      <c r="F9" s="13">
        <f t="shared" si="0"/>
        <v>0</v>
      </c>
      <c r="H9" s="13">
        <v>1</v>
      </c>
      <c r="I9" s="13">
        <v>1</v>
      </c>
      <c r="J9" s="13">
        <v>1</v>
      </c>
      <c r="K9" s="13">
        <v>0</v>
      </c>
      <c r="M9" s="13">
        <f t="shared" si="1"/>
        <v>0</v>
      </c>
      <c r="O9" s="13">
        <v>1</v>
      </c>
      <c r="P9" s="13">
        <v>1</v>
      </c>
      <c r="Q9" s="13">
        <v>1</v>
      </c>
      <c r="R9" s="13">
        <v>0</v>
      </c>
      <c r="T9" s="13" t="str">
        <f t="shared" si="2"/>
        <v>0</v>
      </c>
    </row>
    <row r="12" spans="1:20" x14ac:dyDescent="0.3">
      <c r="A12" s="114" t="s">
        <v>241</v>
      </c>
      <c r="B12" s="114" t="s">
        <v>242</v>
      </c>
      <c r="C12" s="114" t="s">
        <v>243</v>
      </c>
      <c r="D12" s="114" t="s">
        <v>244</v>
      </c>
      <c r="E12" s="133"/>
      <c r="F12" s="114" t="s">
        <v>245</v>
      </c>
      <c r="H12" s="114" t="s">
        <v>241</v>
      </c>
      <c r="I12" s="114" t="s">
        <v>242</v>
      </c>
      <c r="J12" s="114" t="s">
        <v>243</v>
      </c>
      <c r="K12" s="114" t="s">
        <v>244</v>
      </c>
      <c r="L12" s="78"/>
      <c r="M12" s="114" t="s">
        <v>245</v>
      </c>
    </row>
    <row r="13" spans="1:20" x14ac:dyDescent="0.3">
      <c r="A13" s="13">
        <v>0</v>
      </c>
      <c r="B13" s="13">
        <v>0</v>
      </c>
      <c r="C13" s="13">
        <v>0</v>
      </c>
      <c r="D13" s="13">
        <v>1</v>
      </c>
      <c r="F13" s="13">
        <f>IF(OR(AND(B13=0,C13=1),AND(B13=1,C13=0),AND(A13=0,B13=0)),1,0)</f>
        <v>1</v>
      </c>
      <c r="H13" s="13">
        <v>0</v>
      </c>
      <c r="I13" s="13">
        <v>0</v>
      </c>
      <c r="J13" s="13">
        <v>0</v>
      </c>
      <c r="K13" s="13">
        <v>1</v>
      </c>
      <c r="M13" s="13">
        <f>IF(OR(AND(I13=0,J13=0),AND(H13=0,I13=1)),1,0)</f>
        <v>1</v>
      </c>
    </row>
    <row r="14" spans="1:20" x14ac:dyDescent="0.3">
      <c r="A14" s="13">
        <v>0</v>
      </c>
      <c r="B14" s="13">
        <v>0</v>
      </c>
      <c r="C14" s="13">
        <v>1</v>
      </c>
      <c r="D14" s="13">
        <v>1</v>
      </c>
      <c r="F14" s="13">
        <f t="shared" ref="F14:F20" si="3">IF(OR(AND(B14=0,C14=1),AND(B14=1,C14=0),AND(A14=0,B14=0)),1,0)</f>
        <v>1</v>
      </c>
      <c r="H14" s="13">
        <v>0</v>
      </c>
      <c r="I14" s="13">
        <v>0</v>
      </c>
      <c r="J14" s="13">
        <v>1</v>
      </c>
      <c r="K14" s="13">
        <v>0</v>
      </c>
      <c r="M14" s="13">
        <f t="shared" ref="M14:M20" si="4">IF(OR(AND(I14=0,J14=0),AND(H14=0,I14=1)),1,0)</f>
        <v>0</v>
      </c>
    </row>
    <row r="15" spans="1:20" x14ac:dyDescent="0.3">
      <c r="A15" s="13">
        <v>0</v>
      </c>
      <c r="B15" s="13">
        <v>1</v>
      </c>
      <c r="C15" s="13">
        <v>0</v>
      </c>
      <c r="D15" s="13">
        <v>1</v>
      </c>
      <c r="F15" s="13">
        <f t="shared" si="3"/>
        <v>1</v>
      </c>
      <c r="H15" s="13">
        <v>0</v>
      </c>
      <c r="I15" s="13">
        <v>1</v>
      </c>
      <c r="J15" s="13">
        <v>0</v>
      </c>
      <c r="K15" s="13">
        <v>1</v>
      </c>
      <c r="M15" s="13">
        <f t="shared" si="4"/>
        <v>1</v>
      </c>
    </row>
    <row r="16" spans="1:20" x14ac:dyDescent="0.3">
      <c r="A16" s="13">
        <v>0</v>
      </c>
      <c r="B16" s="13">
        <v>1</v>
      </c>
      <c r="C16" s="13">
        <v>1</v>
      </c>
      <c r="D16" s="13">
        <v>0</v>
      </c>
      <c r="F16" s="13">
        <f t="shared" si="3"/>
        <v>0</v>
      </c>
      <c r="H16" s="13">
        <v>0</v>
      </c>
      <c r="I16" s="13">
        <v>1</v>
      </c>
      <c r="J16" s="13">
        <v>1</v>
      </c>
      <c r="K16" s="13">
        <v>1</v>
      </c>
      <c r="M16" s="13">
        <f t="shared" si="4"/>
        <v>1</v>
      </c>
    </row>
    <row r="17" spans="1:13" x14ac:dyDescent="0.3">
      <c r="A17" s="13">
        <v>1</v>
      </c>
      <c r="B17" s="13">
        <v>0</v>
      </c>
      <c r="C17" s="13">
        <v>0</v>
      </c>
      <c r="D17" s="13">
        <v>0</v>
      </c>
      <c r="F17" s="13">
        <f t="shared" si="3"/>
        <v>0</v>
      </c>
      <c r="H17" s="13">
        <v>1</v>
      </c>
      <c r="I17" s="13">
        <v>0</v>
      </c>
      <c r="J17" s="13">
        <v>0</v>
      </c>
      <c r="K17" s="13">
        <v>1</v>
      </c>
      <c r="M17" s="13">
        <f t="shared" si="4"/>
        <v>1</v>
      </c>
    </row>
    <row r="18" spans="1:13" x14ac:dyDescent="0.3">
      <c r="A18" s="13">
        <v>1</v>
      </c>
      <c r="B18" s="13">
        <v>0</v>
      </c>
      <c r="C18" s="13">
        <v>1</v>
      </c>
      <c r="D18" s="13">
        <v>1</v>
      </c>
      <c r="F18" s="13">
        <f t="shared" si="3"/>
        <v>1</v>
      </c>
      <c r="H18" s="13">
        <v>1</v>
      </c>
      <c r="I18" s="13">
        <v>0</v>
      </c>
      <c r="J18" s="13">
        <v>1</v>
      </c>
      <c r="K18" s="13">
        <v>0</v>
      </c>
      <c r="M18" s="13">
        <f t="shared" si="4"/>
        <v>0</v>
      </c>
    </row>
    <row r="19" spans="1:13" x14ac:dyDescent="0.3">
      <c r="A19" s="13">
        <v>1</v>
      </c>
      <c r="B19" s="13">
        <v>1</v>
      </c>
      <c r="C19" s="13">
        <v>0</v>
      </c>
      <c r="D19" s="13">
        <v>1</v>
      </c>
      <c r="F19" s="13">
        <f t="shared" si="3"/>
        <v>1</v>
      </c>
      <c r="H19" s="13">
        <v>1</v>
      </c>
      <c r="I19" s="13">
        <v>1</v>
      </c>
      <c r="J19" s="13">
        <v>0</v>
      </c>
      <c r="K19" s="13">
        <v>0</v>
      </c>
      <c r="M19" s="13">
        <f t="shared" si="4"/>
        <v>0</v>
      </c>
    </row>
    <row r="20" spans="1:13" x14ac:dyDescent="0.3">
      <c r="A20" s="13">
        <v>1</v>
      </c>
      <c r="B20" s="13">
        <v>1</v>
      </c>
      <c r="C20" s="13">
        <v>1</v>
      </c>
      <c r="D20" s="13">
        <v>0</v>
      </c>
      <c r="F20" s="13">
        <f t="shared" si="3"/>
        <v>0</v>
      </c>
      <c r="H20" s="13">
        <v>1</v>
      </c>
      <c r="I20" s="13">
        <v>1</v>
      </c>
      <c r="J20" s="13">
        <v>1</v>
      </c>
      <c r="K20" s="13">
        <v>0</v>
      </c>
      <c r="M20" s="13">
        <f t="shared" si="4"/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149"/>
  <sheetViews>
    <sheetView topLeftCell="A133" workbookViewId="0">
      <selection activeCell="H138" sqref="H138"/>
    </sheetView>
  </sheetViews>
  <sheetFormatPr baseColWidth="10" defaultRowHeight="14.4" x14ac:dyDescent="0.3"/>
  <cols>
    <col min="5" max="5" width="1.6640625" hidden="1" customWidth="1"/>
    <col min="7" max="7" width="1.6640625" customWidth="1"/>
    <col min="8" max="8" width="20.88671875" customWidth="1"/>
    <col min="15" max="15" width="1.6640625" customWidth="1"/>
    <col min="17" max="17" width="1.6640625" customWidth="1"/>
  </cols>
  <sheetData>
    <row r="1" spans="1:16" ht="15" thickBot="1" x14ac:dyDescent="0.35">
      <c r="A1" s="135" t="s">
        <v>246</v>
      </c>
      <c r="B1" s="136" t="s">
        <v>242</v>
      </c>
      <c r="C1" s="136" t="s">
        <v>243</v>
      </c>
      <c r="D1" s="137" t="s">
        <v>121</v>
      </c>
      <c r="E1" s="138"/>
      <c r="F1" s="139" t="s">
        <v>244</v>
      </c>
      <c r="G1" s="133"/>
      <c r="H1" s="136" t="s">
        <v>244</v>
      </c>
      <c r="J1" s="125" t="s">
        <v>246</v>
      </c>
      <c r="K1" s="125" t="s">
        <v>242</v>
      </c>
      <c r="L1" s="125" t="s">
        <v>243</v>
      </c>
      <c r="M1" s="125" t="s">
        <v>121</v>
      </c>
      <c r="N1" s="125" t="s">
        <v>244</v>
      </c>
      <c r="P1" s="125" t="s">
        <v>244</v>
      </c>
    </row>
    <row r="2" spans="1:16" ht="15" thickBot="1" x14ac:dyDescent="0.35">
      <c r="A2" s="44">
        <v>0</v>
      </c>
      <c r="B2" s="116">
        <v>0</v>
      </c>
      <c r="C2" s="116">
        <v>0</v>
      </c>
      <c r="D2" s="116">
        <v>0</v>
      </c>
      <c r="E2" s="117"/>
      <c r="F2" s="118">
        <v>1</v>
      </c>
      <c r="H2" s="120">
        <f>IF(OR(AND(B2=1,D2=0),AND(A2=0,B2=0,C2=0),AND(A2=0,B2=0,D2=1),AND(A2=1,B2=1,C2=1),AND(A2=1,C2=1,D2=0),AND(B2=0,C2=0,D2=1)),1,0)</f>
        <v>1</v>
      </c>
      <c r="J2" s="123">
        <v>0</v>
      </c>
      <c r="K2" s="50">
        <v>0</v>
      </c>
      <c r="L2" s="50">
        <v>0</v>
      </c>
      <c r="M2" s="50">
        <v>0</v>
      </c>
      <c r="N2" s="124">
        <v>1</v>
      </c>
      <c r="P2" s="61">
        <f>IF(OR(AND(J2=0,K2=0),AND(L2=1,M2=0),AND(K2=0,L2=0),AND(J2=1,K2=1,M2=1)),1,0)</f>
        <v>1</v>
      </c>
    </row>
    <row r="3" spans="1:16" ht="15" thickBot="1" x14ac:dyDescent="0.35">
      <c r="A3" s="45">
        <v>0</v>
      </c>
      <c r="B3" s="13">
        <v>0</v>
      </c>
      <c r="C3" s="13">
        <v>0</v>
      </c>
      <c r="D3" s="13">
        <v>1</v>
      </c>
      <c r="E3" s="115"/>
      <c r="F3" s="46">
        <v>1</v>
      </c>
      <c r="H3" s="57">
        <f t="shared" ref="H3:H17" si="0">IF(OR(AND(B3=1,D3=0),AND(A3=0,B3=0,C3=0),AND(A3=0,B3=0,D3=1),AND(A3=1,B3=1,C3=1),AND(A3=1,C3=1,D3=0),AND(B3=0,C3=0,D3=1)),1,0)</f>
        <v>1</v>
      </c>
      <c r="J3" s="45">
        <v>0</v>
      </c>
      <c r="K3" s="13">
        <v>0</v>
      </c>
      <c r="L3" s="13">
        <v>0</v>
      </c>
      <c r="M3" s="13">
        <v>1</v>
      </c>
      <c r="N3" s="122">
        <v>1</v>
      </c>
      <c r="P3" s="120">
        <f t="shared" ref="P3:P17" si="1">IF(OR(AND(J3=0,K3=0),AND(L3=1,M3=0),AND(K3=0,L3=0),AND(J3=1,K3=1,M3=1)),1,0)</f>
        <v>1</v>
      </c>
    </row>
    <row r="4" spans="1:16" ht="15" thickBot="1" x14ac:dyDescent="0.35">
      <c r="A4" s="45">
        <v>0</v>
      </c>
      <c r="B4" s="13">
        <v>0</v>
      </c>
      <c r="C4" s="13">
        <v>1</v>
      </c>
      <c r="D4" s="13">
        <v>0</v>
      </c>
      <c r="E4" s="115"/>
      <c r="F4" s="46">
        <v>0</v>
      </c>
      <c r="H4" s="57">
        <f t="shared" si="0"/>
        <v>0</v>
      </c>
      <c r="J4" s="45">
        <v>0</v>
      </c>
      <c r="K4" s="13">
        <v>0</v>
      </c>
      <c r="L4" s="13">
        <v>1</v>
      </c>
      <c r="M4" s="13">
        <v>0</v>
      </c>
      <c r="N4" s="122">
        <v>1</v>
      </c>
      <c r="P4" s="120">
        <f t="shared" si="1"/>
        <v>1</v>
      </c>
    </row>
    <row r="5" spans="1:16" ht="15" thickBot="1" x14ac:dyDescent="0.35">
      <c r="A5" s="45">
        <v>0</v>
      </c>
      <c r="B5" s="13">
        <v>0</v>
      </c>
      <c r="C5" s="13">
        <v>1</v>
      </c>
      <c r="D5" s="13">
        <v>1</v>
      </c>
      <c r="E5" s="115"/>
      <c r="F5" s="46">
        <v>1</v>
      </c>
      <c r="H5" s="57">
        <f t="shared" si="0"/>
        <v>1</v>
      </c>
      <c r="J5" s="45">
        <v>0</v>
      </c>
      <c r="K5" s="13">
        <v>0</v>
      </c>
      <c r="L5" s="13">
        <v>1</v>
      </c>
      <c r="M5" s="13">
        <v>1</v>
      </c>
      <c r="N5" s="122">
        <v>1</v>
      </c>
      <c r="P5" s="120">
        <f t="shared" si="1"/>
        <v>1</v>
      </c>
    </row>
    <row r="6" spans="1:16" ht="15" thickBot="1" x14ac:dyDescent="0.35">
      <c r="A6" s="45">
        <v>0</v>
      </c>
      <c r="B6" s="13">
        <v>1</v>
      </c>
      <c r="C6" s="13">
        <v>0</v>
      </c>
      <c r="D6" s="13">
        <v>0</v>
      </c>
      <c r="E6" s="115"/>
      <c r="F6" s="46">
        <v>1</v>
      </c>
      <c r="H6" s="57">
        <f t="shared" si="0"/>
        <v>1</v>
      </c>
      <c r="J6" s="45">
        <v>0</v>
      </c>
      <c r="K6" s="13">
        <v>1</v>
      </c>
      <c r="L6" s="13">
        <v>0</v>
      </c>
      <c r="M6" s="13">
        <v>0</v>
      </c>
      <c r="N6" s="46">
        <v>0</v>
      </c>
      <c r="P6" s="120">
        <f t="shared" si="1"/>
        <v>0</v>
      </c>
    </row>
    <row r="7" spans="1:16" ht="15" thickBot="1" x14ac:dyDescent="0.35">
      <c r="A7" s="45">
        <v>0</v>
      </c>
      <c r="B7" s="13">
        <v>1</v>
      </c>
      <c r="C7" s="13">
        <v>0</v>
      </c>
      <c r="D7" s="13">
        <v>1</v>
      </c>
      <c r="E7" s="115"/>
      <c r="F7" s="46">
        <v>0</v>
      </c>
      <c r="H7" s="57">
        <f t="shared" si="0"/>
        <v>0</v>
      </c>
      <c r="J7" s="45">
        <v>0</v>
      </c>
      <c r="K7" s="13">
        <v>1</v>
      </c>
      <c r="L7" s="13">
        <v>0</v>
      </c>
      <c r="M7" s="13">
        <v>1</v>
      </c>
      <c r="N7" s="46">
        <v>0</v>
      </c>
      <c r="P7" s="120">
        <f t="shared" si="1"/>
        <v>0</v>
      </c>
    </row>
    <row r="8" spans="1:16" ht="15" thickBot="1" x14ac:dyDescent="0.35">
      <c r="A8" s="45">
        <v>0</v>
      </c>
      <c r="B8" s="13">
        <v>1</v>
      </c>
      <c r="C8" s="13">
        <v>1</v>
      </c>
      <c r="D8" s="13">
        <v>0</v>
      </c>
      <c r="E8" s="115"/>
      <c r="F8" s="46">
        <v>1</v>
      </c>
      <c r="H8" s="57">
        <f t="shared" si="0"/>
        <v>1</v>
      </c>
      <c r="J8" s="45">
        <v>0</v>
      </c>
      <c r="K8" s="13">
        <v>1</v>
      </c>
      <c r="L8" s="13">
        <v>1</v>
      </c>
      <c r="M8" s="13">
        <v>0</v>
      </c>
      <c r="N8" s="46">
        <v>1</v>
      </c>
      <c r="P8" s="120">
        <f t="shared" si="1"/>
        <v>1</v>
      </c>
    </row>
    <row r="9" spans="1:16" ht="15" thickBot="1" x14ac:dyDescent="0.35">
      <c r="A9" s="45">
        <v>0</v>
      </c>
      <c r="B9" s="13">
        <v>1</v>
      </c>
      <c r="C9" s="13">
        <v>1</v>
      </c>
      <c r="D9" s="13">
        <v>1</v>
      </c>
      <c r="E9" s="115"/>
      <c r="F9" s="46">
        <v>0</v>
      </c>
      <c r="H9" s="57">
        <f t="shared" si="0"/>
        <v>0</v>
      </c>
      <c r="J9" s="45">
        <v>0</v>
      </c>
      <c r="K9" s="13">
        <v>1</v>
      </c>
      <c r="L9" s="13">
        <v>1</v>
      </c>
      <c r="M9" s="13">
        <v>1</v>
      </c>
      <c r="N9" s="46">
        <v>0</v>
      </c>
      <c r="P9" s="120">
        <f t="shared" si="1"/>
        <v>0</v>
      </c>
    </row>
    <row r="10" spans="1:16" ht="15" thickBot="1" x14ac:dyDescent="0.35">
      <c r="A10" s="45">
        <v>1</v>
      </c>
      <c r="B10" s="13">
        <v>0</v>
      </c>
      <c r="C10" s="13">
        <v>0</v>
      </c>
      <c r="D10" s="13">
        <v>0</v>
      </c>
      <c r="E10" s="115"/>
      <c r="F10" s="46">
        <v>0</v>
      </c>
      <c r="H10" s="57">
        <f t="shared" si="0"/>
        <v>0</v>
      </c>
      <c r="J10" s="45">
        <v>1</v>
      </c>
      <c r="K10" s="13">
        <v>0</v>
      </c>
      <c r="L10" s="13">
        <v>0</v>
      </c>
      <c r="M10" s="13">
        <v>0</v>
      </c>
      <c r="N10" s="122">
        <v>1</v>
      </c>
      <c r="P10" s="120">
        <f t="shared" si="1"/>
        <v>1</v>
      </c>
    </row>
    <row r="11" spans="1:16" ht="15" thickBot="1" x14ac:dyDescent="0.35">
      <c r="A11" s="45">
        <v>1</v>
      </c>
      <c r="B11" s="13">
        <v>0</v>
      </c>
      <c r="C11" s="13">
        <v>0</v>
      </c>
      <c r="D11" s="13">
        <v>1</v>
      </c>
      <c r="E11" s="115"/>
      <c r="F11" s="46">
        <v>1</v>
      </c>
      <c r="H11" s="57">
        <f t="shared" si="0"/>
        <v>1</v>
      </c>
      <c r="J11" s="45">
        <v>1</v>
      </c>
      <c r="K11" s="13">
        <v>0</v>
      </c>
      <c r="L11" s="13">
        <v>0</v>
      </c>
      <c r="M11" s="13">
        <v>1</v>
      </c>
      <c r="N11" s="122">
        <v>1</v>
      </c>
      <c r="P11" s="120">
        <f t="shared" si="1"/>
        <v>1</v>
      </c>
    </row>
    <row r="12" spans="1:16" ht="15" thickBot="1" x14ac:dyDescent="0.35">
      <c r="A12" s="45">
        <v>1</v>
      </c>
      <c r="B12" s="13">
        <v>0</v>
      </c>
      <c r="C12" s="13">
        <v>1</v>
      </c>
      <c r="D12" s="13">
        <v>0</v>
      </c>
      <c r="E12" s="115"/>
      <c r="F12" s="46">
        <v>1</v>
      </c>
      <c r="H12" s="57">
        <f t="shared" si="0"/>
        <v>1</v>
      </c>
      <c r="J12" s="45">
        <v>1</v>
      </c>
      <c r="K12" s="13">
        <v>0</v>
      </c>
      <c r="L12" s="13">
        <v>1</v>
      </c>
      <c r="M12" s="13">
        <v>0</v>
      </c>
      <c r="N12" s="122">
        <v>1</v>
      </c>
      <c r="P12" s="120">
        <f t="shared" si="1"/>
        <v>1</v>
      </c>
    </row>
    <row r="13" spans="1:16" ht="15" thickBot="1" x14ac:dyDescent="0.35">
      <c r="A13" s="45">
        <v>1</v>
      </c>
      <c r="B13" s="13">
        <v>0</v>
      </c>
      <c r="C13" s="13">
        <v>1</v>
      </c>
      <c r="D13" s="13">
        <v>1</v>
      </c>
      <c r="E13" s="115"/>
      <c r="F13" s="46">
        <v>0</v>
      </c>
      <c r="H13" s="57">
        <f t="shared" si="0"/>
        <v>0</v>
      </c>
      <c r="J13" s="45">
        <v>1</v>
      </c>
      <c r="K13" s="13">
        <v>0</v>
      </c>
      <c r="L13" s="13">
        <v>1</v>
      </c>
      <c r="M13" s="13">
        <v>1</v>
      </c>
      <c r="N13" s="122">
        <v>0</v>
      </c>
      <c r="P13" s="120">
        <f t="shared" si="1"/>
        <v>0</v>
      </c>
    </row>
    <row r="14" spans="1:16" ht="15" thickBot="1" x14ac:dyDescent="0.35">
      <c r="A14" s="45">
        <v>1</v>
      </c>
      <c r="B14" s="13">
        <v>1</v>
      </c>
      <c r="C14" s="13">
        <v>0</v>
      </c>
      <c r="D14" s="13">
        <v>0</v>
      </c>
      <c r="E14" s="115"/>
      <c r="F14" s="46">
        <v>1</v>
      </c>
      <c r="H14" s="57">
        <f t="shared" si="0"/>
        <v>1</v>
      </c>
      <c r="J14" s="45">
        <v>1</v>
      </c>
      <c r="K14" s="13">
        <v>1</v>
      </c>
      <c r="L14" s="13">
        <v>0</v>
      </c>
      <c r="M14" s="13">
        <v>0</v>
      </c>
      <c r="N14" s="46">
        <v>0</v>
      </c>
      <c r="P14" s="120">
        <f t="shared" si="1"/>
        <v>0</v>
      </c>
    </row>
    <row r="15" spans="1:16" ht="15" thickBot="1" x14ac:dyDescent="0.35">
      <c r="A15" s="45">
        <v>1</v>
      </c>
      <c r="B15" s="13">
        <v>1</v>
      </c>
      <c r="C15" s="13">
        <v>0</v>
      </c>
      <c r="D15" s="13">
        <v>1</v>
      </c>
      <c r="E15" s="115"/>
      <c r="F15" s="46">
        <v>0</v>
      </c>
      <c r="H15" s="57">
        <f t="shared" si="0"/>
        <v>0</v>
      </c>
      <c r="J15" s="45">
        <v>1</v>
      </c>
      <c r="K15" s="13">
        <v>1</v>
      </c>
      <c r="L15" s="13">
        <v>0</v>
      </c>
      <c r="M15" s="13">
        <v>1</v>
      </c>
      <c r="N15" s="46">
        <v>1</v>
      </c>
      <c r="P15" s="120">
        <f t="shared" si="1"/>
        <v>1</v>
      </c>
    </row>
    <row r="16" spans="1:16" ht="15" thickBot="1" x14ac:dyDescent="0.35">
      <c r="A16" s="45">
        <v>1</v>
      </c>
      <c r="B16" s="13">
        <v>1</v>
      </c>
      <c r="C16" s="13">
        <v>1</v>
      </c>
      <c r="D16" s="13">
        <v>0</v>
      </c>
      <c r="E16" s="115"/>
      <c r="F16" s="46">
        <v>1</v>
      </c>
      <c r="H16" s="57">
        <f t="shared" si="0"/>
        <v>1</v>
      </c>
      <c r="J16" s="45">
        <v>1</v>
      </c>
      <c r="K16" s="13">
        <v>1</v>
      </c>
      <c r="L16" s="13">
        <v>1</v>
      </c>
      <c r="M16" s="13">
        <v>0</v>
      </c>
      <c r="N16" s="46">
        <v>1</v>
      </c>
      <c r="P16" s="120">
        <f t="shared" si="1"/>
        <v>1</v>
      </c>
    </row>
    <row r="17" spans="1:18" ht="15" thickBot="1" x14ac:dyDescent="0.35">
      <c r="A17" s="47">
        <v>1</v>
      </c>
      <c r="B17" s="48">
        <v>1</v>
      </c>
      <c r="C17" s="48">
        <v>1</v>
      </c>
      <c r="D17" s="48">
        <v>1</v>
      </c>
      <c r="E17" s="119"/>
      <c r="F17" s="49">
        <v>1</v>
      </c>
      <c r="H17" s="58">
        <f t="shared" si="0"/>
        <v>1</v>
      </c>
      <c r="J17" s="47">
        <v>1</v>
      </c>
      <c r="K17" s="48">
        <v>1</v>
      </c>
      <c r="L17" s="48">
        <v>1</v>
      </c>
      <c r="M17" s="48">
        <v>1</v>
      </c>
      <c r="N17" s="49">
        <v>1</v>
      </c>
      <c r="P17" s="120">
        <f t="shared" si="1"/>
        <v>1</v>
      </c>
    </row>
    <row r="20" spans="1:18" ht="15" thickBot="1" x14ac:dyDescent="0.35">
      <c r="A20" s="135" t="s">
        <v>246</v>
      </c>
      <c r="B20" s="136" t="s">
        <v>242</v>
      </c>
      <c r="C20" s="136" t="s">
        <v>243</v>
      </c>
      <c r="D20" s="137" t="s">
        <v>121</v>
      </c>
      <c r="E20" s="138"/>
      <c r="F20" s="139" t="s">
        <v>244</v>
      </c>
      <c r="G20" s="133"/>
      <c r="H20" s="136" t="s">
        <v>244</v>
      </c>
      <c r="J20" s="135" t="s">
        <v>246</v>
      </c>
      <c r="K20" s="136" t="s">
        <v>242</v>
      </c>
      <c r="L20" s="136" t="s">
        <v>243</v>
      </c>
      <c r="M20" s="137" t="s">
        <v>121</v>
      </c>
      <c r="N20" s="139" t="s">
        <v>244</v>
      </c>
      <c r="O20" s="133"/>
      <c r="P20" s="136" t="s">
        <v>244</v>
      </c>
      <c r="Q20" s="133"/>
      <c r="R20" s="114" t="s">
        <v>247</v>
      </c>
    </row>
    <row r="21" spans="1:18" ht="15" thickBot="1" x14ac:dyDescent="0.35">
      <c r="A21" s="44">
        <v>0</v>
      </c>
      <c r="B21" s="116">
        <v>0</v>
      </c>
      <c r="C21" s="116">
        <v>0</v>
      </c>
      <c r="D21" s="116">
        <v>0</v>
      </c>
      <c r="E21" s="117"/>
      <c r="F21" s="121">
        <v>0</v>
      </c>
      <c r="H21" s="120">
        <f>IF(OR(AND(C21=1,D21=1),AND(A21=1,B21=1),AND(A21=1,D21=1),AND(B21=1,C21=1)),1,0)</f>
        <v>0</v>
      </c>
      <c r="J21" s="44">
        <v>0</v>
      </c>
      <c r="K21" s="116">
        <v>0</v>
      </c>
      <c r="L21" s="116">
        <v>0</v>
      </c>
      <c r="M21" s="116">
        <v>0</v>
      </c>
      <c r="N21" s="126">
        <v>1</v>
      </c>
      <c r="P21" s="120">
        <f>IF(OR(AND(J21=1,K21=0),AND(J21=1,M21=1),AND(K21=0,L21=0),AND(K21=0,M21=0),AND(J21=0,K21=1,L21=1)),1,0)</f>
        <v>1</v>
      </c>
      <c r="R21" s="13">
        <f>IF(OR(AND(J21=1,K21=1,M21=0),AND(J21=0,K21=1,L21=0),AND(J21=0,K21=0,L21=1,M21=1)),0,1)</f>
        <v>1</v>
      </c>
    </row>
    <row r="22" spans="1:18" ht="15" thickBot="1" x14ac:dyDescent="0.35">
      <c r="A22" s="45">
        <v>0</v>
      </c>
      <c r="B22" s="13">
        <v>0</v>
      </c>
      <c r="C22" s="13">
        <v>0</v>
      </c>
      <c r="D22" s="13">
        <v>1</v>
      </c>
      <c r="E22" s="115"/>
      <c r="F22" s="122">
        <v>0</v>
      </c>
      <c r="H22" s="120">
        <f t="shared" ref="H22:H36" si="2">IF(OR(AND(C22=1,D22=1),AND(A22=1,B22=1),AND(A22=1,D22=1),AND(B22=1,C22=1)),1,0)</f>
        <v>0</v>
      </c>
      <c r="J22" s="45">
        <v>0</v>
      </c>
      <c r="K22" s="13">
        <v>0</v>
      </c>
      <c r="L22" s="13">
        <v>0</v>
      </c>
      <c r="M22" s="13">
        <v>1</v>
      </c>
      <c r="N22" s="122">
        <v>1</v>
      </c>
      <c r="P22" s="120">
        <f t="shared" ref="P22:P36" si="3">IF(OR(AND(J22=1,K22=0),AND(J22=1,M22=1),AND(K22=0,L22=0),AND(K22=0,M22=0),AND(J22=0,K22=1,L22=1)),1,0)</f>
        <v>1</v>
      </c>
      <c r="R22" s="13">
        <f t="shared" ref="R22:R36" si="4">IF(OR(AND(J22=1,K22=1,M22=0),AND(J22=0,K22=1,L22=0),AND(J22=0,K22=0,L22=1,M22=1)),0,1)</f>
        <v>1</v>
      </c>
    </row>
    <row r="23" spans="1:18" ht="15" thickBot="1" x14ac:dyDescent="0.35">
      <c r="A23" s="45">
        <v>0</v>
      </c>
      <c r="B23" s="13">
        <v>0</v>
      </c>
      <c r="C23" s="13">
        <v>1</v>
      </c>
      <c r="D23" s="13">
        <v>0</v>
      </c>
      <c r="E23" s="115"/>
      <c r="F23" s="122">
        <v>0</v>
      </c>
      <c r="H23" s="120">
        <f t="shared" si="2"/>
        <v>0</v>
      </c>
      <c r="J23" s="45">
        <v>0</v>
      </c>
      <c r="K23" s="13">
        <v>0</v>
      </c>
      <c r="L23" s="13">
        <v>1</v>
      </c>
      <c r="M23" s="13">
        <v>0</v>
      </c>
      <c r="N23" s="122">
        <v>1</v>
      </c>
      <c r="P23" s="120">
        <f t="shared" si="3"/>
        <v>1</v>
      </c>
      <c r="R23" s="13">
        <f t="shared" si="4"/>
        <v>1</v>
      </c>
    </row>
    <row r="24" spans="1:18" ht="15" thickBot="1" x14ac:dyDescent="0.35">
      <c r="A24" s="45">
        <v>0</v>
      </c>
      <c r="B24" s="13">
        <v>0</v>
      </c>
      <c r="C24" s="13">
        <v>1</v>
      </c>
      <c r="D24" s="13">
        <v>1</v>
      </c>
      <c r="E24" s="115"/>
      <c r="F24" s="122">
        <v>1</v>
      </c>
      <c r="H24" s="120">
        <f t="shared" si="2"/>
        <v>1</v>
      </c>
      <c r="J24" s="45">
        <v>0</v>
      </c>
      <c r="K24" s="13">
        <v>0</v>
      </c>
      <c r="L24" s="13">
        <v>1</v>
      </c>
      <c r="M24" s="13">
        <v>1</v>
      </c>
      <c r="N24" s="122">
        <v>0</v>
      </c>
      <c r="P24" s="120">
        <f t="shared" si="3"/>
        <v>0</v>
      </c>
      <c r="R24" s="13">
        <f t="shared" si="4"/>
        <v>0</v>
      </c>
    </row>
    <row r="25" spans="1:18" ht="15" thickBot="1" x14ac:dyDescent="0.35">
      <c r="A25" s="45">
        <v>0</v>
      </c>
      <c r="B25" s="13">
        <v>1</v>
      </c>
      <c r="C25" s="13">
        <v>0</v>
      </c>
      <c r="D25" s="13">
        <v>0</v>
      </c>
      <c r="E25" s="115"/>
      <c r="F25" s="46">
        <v>0</v>
      </c>
      <c r="H25" s="120">
        <f t="shared" si="2"/>
        <v>0</v>
      </c>
      <c r="J25" s="45">
        <v>0</v>
      </c>
      <c r="K25" s="13">
        <v>1</v>
      </c>
      <c r="L25" s="13">
        <v>0</v>
      </c>
      <c r="M25" s="13">
        <v>0</v>
      </c>
      <c r="N25" s="46">
        <v>0</v>
      </c>
      <c r="P25" s="120">
        <f t="shared" si="3"/>
        <v>0</v>
      </c>
      <c r="R25" s="13">
        <f t="shared" si="4"/>
        <v>0</v>
      </c>
    </row>
    <row r="26" spans="1:18" ht="15" thickBot="1" x14ac:dyDescent="0.35">
      <c r="A26" s="45">
        <v>0</v>
      </c>
      <c r="B26" s="13">
        <v>1</v>
      </c>
      <c r="C26" s="13">
        <v>0</v>
      </c>
      <c r="D26" s="13">
        <v>1</v>
      </c>
      <c r="E26" s="115"/>
      <c r="F26" s="46">
        <v>0</v>
      </c>
      <c r="H26" s="120">
        <f t="shared" si="2"/>
        <v>0</v>
      </c>
      <c r="J26" s="45">
        <v>0</v>
      </c>
      <c r="K26" s="13">
        <v>1</v>
      </c>
      <c r="L26" s="13">
        <v>0</v>
      </c>
      <c r="M26" s="13">
        <v>1</v>
      </c>
      <c r="N26" s="46">
        <v>0</v>
      </c>
      <c r="P26" s="120">
        <f t="shared" si="3"/>
        <v>0</v>
      </c>
      <c r="R26" s="13">
        <f t="shared" si="4"/>
        <v>0</v>
      </c>
    </row>
    <row r="27" spans="1:18" ht="15" thickBot="1" x14ac:dyDescent="0.35">
      <c r="A27" s="45">
        <v>0</v>
      </c>
      <c r="B27" s="13">
        <v>1</v>
      </c>
      <c r="C27" s="13">
        <v>1</v>
      </c>
      <c r="D27" s="13">
        <v>0</v>
      </c>
      <c r="E27" s="115"/>
      <c r="F27" s="46">
        <v>1</v>
      </c>
      <c r="H27" s="120">
        <f t="shared" si="2"/>
        <v>1</v>
      </c>
      <c r="J27" s="45">
        <v>0</v>
      </c>
      <c r="K27" s="13">
        <v>1</v>
      </c>
      <c r="L27" s="13">
        <v>1</v>
      </c>
      <c r="M27" s="13">
        <v>0</v>
      </c>
      <c r="N27" s="46">
        <v>1</v>
      </c>
      <c r="P27" s="120">
        <f t="shared" si="3"/>
        <v>1</v>
      </c>
      <c r="R27" s="13">
        <f t="shared" si="4"/>
        <v>1</v>
      </c>
    </row>
    <row r="28" spans="1:18" ht="15" thickBot="1" x14ac:dyDescent="0.35">
      <c r="A28" s="45">
        <v>0</v>
      </c>
      <c r="B28" s="13">
        <v>1</v>
      </c>
      <c r="C28" s="13">
        <v>1</v>
      </c>
      <c r="D28" s="13">
        <v>1</v>
      </c>
      <c r="E28" s="115"/>
      <c r="F28" s="46">
        <v>1</v>
      </c>
      <c r="H28" s="120">
        <f t="shared" si="2"/>
        <v>1</v>
      </c>
      <c r="J28" s="45">
        <v>0</v>
      </c>
      <c r="K28" s="13">
        <v>1</v>
      </c>
      <c r="L28" s="13">
        <v>1</v>
      </c>
      <c r="M28" s="13">
        <v>1</v>
      </c>
      <c r="N28" s="46">
        <v>1</v>
      </c>
      <c r="P28" s="120">
        <f t="shared" si="3"/>
        <v>1</v>
      </c>
      <c r="R28" s="13">
        <f t="shared" si="4"/>
        <v>1</v>
      </c>
    </row>
    <row r="29" spans="1:18" ht="15" thickBot="1" x14ac:dyDescent="0.35">
      <c r="A29" s="45">
        <v>1</v>
      </c>
      <c r="B29" s="13">
        <v>0</v>
      </c>
      <c r="C29" s="13">
        <v>0</v>
      </c>
      <c r="D29" s="13">
        <v>0</v>
      </c>
      <c r="E29" s="115"/>
      <c r="F29" s="122">
        <v>0</v>
      </c>
      <c r="H29" s="120">
        <f t="shared" si="2"/>
        <v>0</v>
      </c>
      <c r="J29" s="45">
        <v>1</v>
      </c>
      <c r="K29" s="13">
        <v>0</v>
      </c>
      <c r="L29" s="13">
        <v>0</v>
      </c>
      <c r="M29" s="13">
        <v>0</v>
      </c>
      <c r="N29" s="122">
        <v>1</v>
      </c>
      <c r="P29" s="120">
        <f t="shared" si="3"/>
        <v>1</v>
      </c>
      <c r="R29" s="13">
        <f t="shared" si="4"/>
        <v>1</v>
      </c>
    </row>
    <row r="30" spans="1:18" ht="15" thickBot="1" x14ac:dyDescent="0.35">
      <c r="A30" s="45">
        <v>1</v>
      </c>
      <c r="B30" s="13">
        <v>0</v>
      </c>
      <c r="C30" s="13">
        <v>0</v>
      </c>
      <c r="D30" s="13">
        <v>1</v>
      </c>
      <c r="E30" s="115"/>
      <c r="F30" s="122">
        <v>1</v>
      </c>
      <c r="H30" s="120">
        <f t="shared" si="2"/>
        <v>1</v>
      </c>
      <c r="J30" s="45">
        <v>1</v>
      </c>
      <c r="K30" s="13">
        <v>0</v>
      </c>
      <c r="L30" s="13">
        <v>0</v>
      </c>
      <c r="M30" s="13">
        <v>1</v>
      </c>
      <c r="N30" s="122">
        <v>1</v>
      </c>
      <c r="P30" s="120">
        <f t="shared" si="3"/>
        <v>1</v>
      </c>
      <c r="R30" s="13">
        <f t="shared" si="4"/>
        <v>1</v>
      </c>
    </row>
    <row r="31" spans="1:18" ht="15" thickBot="1" x14ac:dyDescent="0.35">
      <c r="A31" s="45">
        <v>1</v>
      </c>
      <c r="B31" s="13">
        <v>0</v>
      </c>
      <c r="C31" s="13">
        <v>1</v>
      </c>
      <c r="D31" s="13">
        <v>0</v>
      </c>
      <c r="E31" s="115"/>
      <c r="F31" s="122">
        <v>0</v>
      </c>
      <c r="H31" s="120">
        <f t="shared" si="2"/>
        <v>0</v>
      </c>
      <c r="J31" s="45">
        <v>1</v>
      </c>
      <c r="K31" s="13">
        <v>0</v>
      </c>
      <c r="L31" s="13">
        <v>1</v>
      </c>
      <c r="M31" s="13">
        <v>0</v>
      </c>
      <c r="N31" s="122">
        <v>1</v>
      </c>
      <c r="P31" s="120">
        <f t="shared" si="3"/>
        <v>1</v>
      </c>
      <c r="R31" s="13">
        <f t="shared" si="4"/>
        <v>1</v>
      </c>
    </row>
    <row r="32" spans="1:18" ht="15" thickBot="1" x14ac:dyDescent="0.35">
      <c r="A32" s="45">
        <v>1</v>
      </c>
      <c r="B32" s="13">
        <v>0</v>
      </c>
      <c r="C32" s="13">
        <v>1</v>
      </c>
      <c r="D32" s="13">
        <v>1</v>
      </c>
      <c r="E32" s="115"/>
      <c r="F32" s="122">
        <v>1</v>
      </c>
      <c r="H32" s="120">
        <f t="shared" si="2"/>
        <v>1</v>
      </c>
      <c r="J32" s="45">
        <v>1</v>
      </c>
      <c r="K32" s="13">
        <v>0</v>
      </c>
      <c r="L32" s="13">
        <v>1</v>
      </c>
      <c r="M32" s="13">
        <v>1</v>
      </c>
      <c r="N32" s="122">
        <v>1</v>
      </c>
      <c r="P32" s="120">
        <f t="shared" si="3"/>
        <v>1</v>
      </c>
      <c r="R32" s="13">
        <f t="shared" si="4"/>
        <v>1</v>
      </c>
    </row>
    <row r="33" spans="1:18" ht="15" thickBot="1" x14ac:dyDescent="0.35">
      <c r="A33" s="45">
        <v>1</v>
      </c>
      <c r="B33" s="13">
        <v>1</v>
      </c>
      <c r="C33" s="13">
        <v>0</v>
      </c>
      <c r="D33" s="13">
        <v>0</v>
      </c>
      <c r="E33" s="115"/>
      <c r="F33" s="46">
        <v>1</v>
      </c>
      <c r="H33" s="120">
        <f t="shared" si="2"/>
        <v>1</v>
      </c>
      <c r="J33" s="45">
        <v>1</v>
      </c>
      <c r="K33" s="13">
        <v>1</v>
      </c>
      <c r="L33" s="13">
        <v>0</v>
      </c>
      <c r="M33" s="13">
        <v>0</v>
      </c>
      <c r="N33" s="46">
        <v>0</v>
      </c>
      <c r="P33" s="120">
        <f t="shared" si="3"/>
        <v>0</v>
      </c>
      <c r="R33" s="13">
        <f t="shared" si="4"/>
        <v>0</v>
      </c>
    </row>
    <row r="34" spans="1:18" ht="15" thickBot="1" x14ac:dyDescent="0.35">
      <c r="A34" s="45">
        <v>1</v>
      </c>
      <c r="B34" s="13">
        <v>1</v>
      </c>
      <c r="C34" s="13">
        <v>0</v>
      </c>
      <c r="D34" s="13">
        <v>1</v>
      </c>
      <c r="E34" s="115"/>
      <c r="F34" s="46">
        <v>1</v>
      </c>
      <c r="H34" s="120">
        <f t="shared" si="2"/>
        <v>1</v>
      </c>
      <c r="J34" s="45">
        <v>1</v>
      </c>
      <c r="K34" s="13">
        <v>1</v>
      </c>
      <c r="L34" s="13">
        <v>0</v>
      </c>
      <c r="M34" s="13">
        <v>1</v>
      </c>
      <c r="N34" s="46">
        <v>1</v>
      </c>
      <c r="P34" s="120">
        <f t="shared" si="3"/>
        <v>1</v>
      </c>
      <c r="R34" s="13">
        <f t="shared" si="4"/>
        <v>1</v>
      </c>
    </row>
    <row r="35" spans="1:18" ht="15" thickBot="1" x14ac:dyDescent="0.35">
      <c r="A35" s="45">
        <v>1</v>
      </c>
      <c r="B35" s="13">
        <v>1</v>
      </c>
      <c r="C35" s="13">
        <v>1</v>
      </c>
      <c r="D35" s="13">
        <v>0</v>
      </c>
      <c r="E35" s="115"/>
      <c r="F35" s="46">
        <v>1</v>
      </c>
      <c r="H35" s="120">
        <f t="shared" si="2"/>
        <v>1</v>
      </c>
      <c r="J35" s="45">
        <v>1</v>
      </c>
      <c r="K35" s="13">
        <v>1</v>
      </c>
      <c r="L35" s="13">
        <v>1</v>
      </c>
      <c r="M35" s="13">
        <v>0</v>
      </c>
      <c r="N35" s="46">
        <v>0</v>
      </c>
      <c r="P35" s="120">
        <f t="shared" si="3"/>
        <v>0</v>
      </c>
      <c r="R35" s="13">
        <f t="shared" si="4"/>
        <v>0</v>
      </c>
    </row>
    <row r="36" spans="1:18" ht="15" thickBot="1" x14ac:dyDescent="0.35">
      <c r="A36" s="47">
        <v>1</v>
      </c>
      <c r="B36" s="48">
        <v>1</v>
      </c>
      <c r="C36" s="48">
        <v>1</v>
      </c>
      <c r="D36" s="48">
        <v>1</v>
      </c>
      <c r="E36" s="119"/>
      <c r="F36" s="49">
        <v>1</v>
      </c>
      <c r="H36" s="120">
        <f t="shared" si="2"/>
        <v>1</v>
      </c>
      <c r="J36" s="47">
        <v>1</v>
      </c>
      <c r="K36" s="48">
        <v>1</v>
      </c>
      <c r="L36" s="48">
        <v>1</v>
      </c>
      <c r="M36" s="48">
        <v>1</v>
      </c>
      <c r="N36" s="49">
        <v>1</v>
      </c>
      <c r="P36" s="120">
        <f t="shared" si="3"/>
        <v>1</v>
      </c>
      <c r="R36" s="13">
        <f t="shared" si="4"/>
        <v>1</v>
      </c>
    </row>
    <row r="39" spans="1:18" ht="15" thickBot="1" x14ac:dyDescent="0.35">
      <c r="A39" s="135" t="s">
        <v>246</v>
      </c>
      <c r="B39" s="136" t="s">
        <v>242</v>
      </c>
      <c r="C39" s="136" t="s">
        <v>243</v>
      </c>
      <c r="D39" s="137" t="s">
        <v>121</v>
      </c>
      <c r="E39" s="138"/>
      <c r="F39" s="139" t="s">
        <v>244</v>
      </c>
      <c r="G39" s="133"/>
      <c r="H39" s="136" t="s">
        <v>244</v>
      </c>
    </row>
    <row r="40" spans="1:18" ht="15" thickBot="1" x14ac:dyDescent="0.35">
      <c r="A40" s="44">
        <v>0</v>
      </c>
      <c r="B40" s="116">
        <v>0</v>
      </c>
      <c r="C40" s="116">
        <v>0</v>
      </c>
      <c r="D40" s="116">
        <v>0</v>
      </c>
      <c r="E40" s="117"/>
      <c r="F40" s="121">
        <v>0</v>
      </c>
      <c r="H40" s="120">
        <f>IF(OR(AND(B40=1,C40=0),AND(A40=0,B40=0,C40=1,D40=1)),2,IF(OR(AND(C40=1,D40=0),AND(A40=1,C40=1),AND(A40=0,B40=0,C40=0,D40=1)),1,0))</f>
        <v>0</v>
      </c>
      <c r="J40">
        <v>0</v>
      </c>
      <c r="K40" t="s">
        <v>248</v>
      </c>
    </row>
    <row r="41" spans="1:18" ht="15" thickBot="1" x14ac:dyDescent="0.35">
      <c r="A41" s="45">
        <v>0</v>
      </c>
      <c r="B41" s="13">
        <v>0</v>
      </c>
      <c r="C41" s="13">
        <v>0</v>
      </c>
      <c r="D41" s="13">
        <v>1</v>
      </c>
      <c r="E41" s="115"/>
      <c r="F41" s="122">
        <v>1</v>
      </c>
      <c r="H41" s="120">
        <f t="shared" ref="H41:H55" si="5">IF(OR(AND(B41=1,C41=0),AND(A41=0,B41=0,C41=1,D41=1)),2,IF(OR(AND(C41=1,D41=0),AND(A41=1,C41=1),AND(A41=0,B41=0,C41=0,D41=1)),1,0))</f>
        <v>1</v>
      </c>
      <c r="J41">
        <v>1</v>
      </c>
      <c r="K41" t="s">
        <v>249</v>
      </c>
    </row>
    <row r="42" spans="1:18" ht="15" thickBot="1" x14ac:dyDescent="0.35">
      <c r="A42" s="45">
        <v>0</v>
      </c>
      <c r="B42" s="13">
        <v>0</v>
      </c>
      <c r="C42" s="13">
        <v>1</v>
      </c>
      <c r="D42" s="13">
        <v>0</v>
      </c>
      <c r="E42" s="115"/>
      <c r="F42" s="122">
        <v>1</v>
      </c>
      <c r="H42" s="120">
        <f t="shared" si="5"/>
        <v>1</v>
      </c>
      <c r="J42">
        <v>2</v>
      </c>
      <c r="K42" t="s">
        <v>250</v>
      </c>
    </row>
    <row r="43" spans="1:18" ht="15" thickBot="1" x14ac:dyDescent="0.35">
      <c r="A43" s="45">
        <v>0</v>
      </c>
      <c r="B43" s="13">
        <v>0</v>
      </c>
      <c r="C43" s="13">
        <v>1</v>
      </c>
      <c r="D43" s="13">
        <v>1</v>
      </c>
      <c r="E43" s="115"/>
      <c r="F43" s="122">
        <v>2</v>
      </c>
      <c r="H43" s="120">
        <f t="shared" si="5"/>
        <v>2</v>
      </c>
    </row>
    <row r="44" spans="1:18" ht="15" thickBot="1" x14ac:dyDescent="0.35">
      <c r="A44" s="45">
        <v>0</v>
      </c>
      <c r="B44" s="13">
        <v>1</v>
      </c>
      <c r="C44" s="13">
        <v>0</v>
      </c>
      <c r="D44" s="13">
        <v>0</v>
      </c>
      <c r="E44" s="115"/>
      <c r="F44" s="46">
        <v>2</v>
      </c>
      <c r="H44" s="120">
        <f t="shared" si="5"/>
        <v>2</v>
      </c>
    </row>
    <row r="45" spans="1:18" ht="15" thickBot="1" x14ac:dyDescent="0.35">
      <c r="A45" s="45">
        <v>0</v>
      </c>
      <c r="B45" s="13">
        <v>1</v>
      </c>
      <c r="C45" s="13">
        <v>0</v>
      </c>
      <c r="D45" s="13">
        <v>1</v>
      </c>
      <c r="E45" s="115"/>
      <c r="F45" s="46">
        <v>2</v>
      </c>
      <c r="H45" s="120">
        <f t="shared" si="5"/>
        <v>2</v>
      </c>
    </row>
    <row r="46" spans="1:18" ht="15" thickBot="1" x14ac:dyDescent="0.35">
      <c r="A46" s="45">
        <v>0</v>
      </c>
      <c r="B46" s="13">
        <v>1</v>
      </c>
      <c r="C46" s="13">
        <v>1</v>
      </c>
      <c r="D46" s="13">
        <v>0</v>
      </c>
      <c r="E46" s="115"/>
      <c r="F46" s="46">
        <v>1</v>
      </c>
      <c r="H46" s="120">
        <f t="shared" si="5"/>
        <v>1</v>
      </c>
    </row>
    <row r="47" spans="1:18" ht="15" thickBot="1" x14ac:dyDescent="0.35">
      <c r="A47" s="45">
        <v>0</v>
      </c>
      <c r="B47" s="13">
        <v>1</v>
      </c>
      <c r="C47" s="13">
        <v>1</v>
      </c>
      <c r="D47" s="13">
        <v>1</v>
      </c>
      <c r="E47" s="115"/>
      <c r="F47" s="46">
        <v>0</v>
      </c>
      <c r="H47" s="120">
        <f t="shared" si="5"/>
        <v>0</v>
      </c>
    </row>
    <row r="48" spans="1:18" ht="15" thickBot="1" x14ac:dyDescent="0.35">
      <c r="A48" s="45">
        <v>1</v>
      </c>
      <c r="B48" s="13">
        <v>0</v>
      </c>
      <c r="C48" s="13">
        <v>0</v>
      </c>
      <c r="D48" s="13">
        <v>0</v>
      </c>
      <c r="E48" s="115"/>
      <c r="F48" s="122">
        <v>0</v>
      </c>
      <c r="H48" s="120">
        <f t="shared" si="5"/>
        <v>0</v>
      </c>
    </row>
    <row r="49" spans="1:11" ht="15" thickBot="1" x14ac:dyDescent="0.35">
      <c r="A49" s="45">
        <v>1</v>
      </c>
      <c r="B49" s="13">
        <v>0</v>
      </c>
      <c r="C49" s="13">
        <v>0</v>
      </c>
      <c r="D49" s="13">
        <v>1</v>
      </c>
      <c r="E49" s="115"/>
      <c r="F49" s="122">
        <v>0</v>
      </c>
      <c r="H49" s="120">
        <f t="shared" si="5"/>
        <v>0</v>
      </c>
    </row>
    <row r="50" spans="1:11" ht="15" thickBot="1" x14ac:dyDescent="0.35">
      <c r="A50" s="45">
        <v>1</v>
      </c>
      <c r="B50" s="13">
        <v>0</v>
      </c>
      <c r="C50" s="13">
        <v>1</v>
      </c>
      <c r="D50" s="13">
        <v>0</v>
      </c>
      <c r="E50" s="115"/>
      <c r="F50" s="122">
        <v>1</v>
      </c>
      <c r="H50" s="120">
        <f t="shared" si="5"/>
        <v>1</v>
      </c>
    </row>
    <row r="51" spans="1:11" ht="15" thickBot="1" x14ac:dyDescent="0.35">
      <c r="A51" s="45">
        <v>1</v>
      </c>
      <c r="B51" s="13">
        <v>0</v>
      </c>
      <c r="C51" s="13">
        <v>1</v>
      </c>
      <c r="D51" s="13">
        <v>1</v>
      </c>
      <c r="E51" s="115"/>
      <c r="F51" s="122">
        <v>1</v>
      </c>
      <c r="H51" s="120">
        <f t="shared" si="5"/>
        <v>1</v>
      </c>
    </row>
    <row r="52" spans="1:11" ht="15" thickBot="1" x14ac:dyDescent="0.35">
      <c r="A52" s="45">
        <v>1</v>
      </c>
      <c r="B52" s="13">
        <v>1</v>
      </c>
      <c r="C52" s="13">
        <v>0</v>
      </c>
      <c r="D52" s="13">
        <v>0</v>
      </c>
      <c r="E52" s="115"/>
      <c r="F52" s="46">
        <v>2</v>
      </c>
      <c r="H52" s="120">
        <f t="shared" si="5"/>
        <v>2</v>
      </c>
    </row>
    <row r="53" spans="1:11" ht="15" thickBot="1" x14ac:dyDescent="0.35">
      <c r="A53" s="45">
        <v>1</v>
      </c>
      <c r="B53" s="13">
        <v>1</v>
      </c>
      <c r="C53" s="13">
        <v>0</v>
      </c>
      <c r="D53" s="13">
        <v>1</v>
      </c>
      <c r="E53" s="115"/>
      <c r="F53" s="46">
        <v>2</v>
      </c>
      <c r="H53" s="120">
        <f t="shared" si="5"/>
        <v>2</v>
      </c>
    </row>
    <row r="54" spans="1:11" ht="15" thickBot="1" x14ac:dyDescent="0.35">
      <c r="A54" s="45">
        <v>1</v>
      </c>
      <c r="B54" s="13">
        <v>1</v>
      </c>
      <c r="C54" s="13">
        <v>1</v>
      </c>
      <c r="D54" s="13">
        <v>0</v>
      </c>
      <c r="E54" s="115"/>
      <c r="F54" s="46">
        <v>1</v>
      </c>
      <c r="H54" s="120">
        <f t="shared" si="5"/>
        <v>1</v>
      </c>
    </row>
    <row r="55" spans="1:11" ht="15" thickBot="1" x14ac:dyDescent="0.35">
      <c r="A55" s="47">
        <v>1</v>
      </c>
      <c r="B55" s="48">
        <v>1</v>
      </c>
      <c r="C55" s="48">
        <v>1</v>
      </c>
      <c r="D55" s="48">
        <v>1</v>
      </c>
      <c r="E55" s="119"/>
      <c r="F55" s="49">
        <v>1</v>
      </c>
      <c r="H55" s="120">
        <f t="shared" si="5"/>
        <v>1</v>
      </c>
    </row>
    <row r="57" spans="1:11" ht="15" thickBot="1" x14ac:dyDescent="0.35">
      <c r="A57" s="127"/>
      <c r="B57" s="127"/>
      <c r="C57" s="127"/>
      <c r="D57" s="127"/>
      <c r="E57" s="127"/>
      <c r="F57" s="127"/>
    </row>
    <row r="58" spans="1:11" ht="15" thickBot="1" x14ac:dyDescent="0.35">
      <c r="A58" s="128" t="s">
        <v>246</v>
      </c>
      <c r="B58" s="129" t="s">
        <v>242</v>
      </c>
      <c r="C58" s="129" t="s">
        <v>243</v>
      </c>
      <c r="D58" s="130" t="s">
        <v>121</v>
      </c>
      <c r="E58" s="131"/>
      <c r="F58" s="132" t="s">
        <v>244</v>
      </c>
      <c r="G58" s="133"/>
      <c r="H58" s="134" t="s">
        <v>244</v>
      </c>
    </row>
    <row r="59" spans="1:11" ht="15" thickBot="1" x14ac:dyDescent="0.35">
      <c r="A59" s="44">
        <v>0</v>
      </c>
      <c r="B59" s="116">
        <v>0</v>
      </c>
      <c r="C59" s="116">
        <v>0</v>
      </c>
      <c r="D59" s="116">
        <v>0</v>
      </c>
      <c r="E59" s="117"/>
      <c r="F59" s="121">
        <v>1</v>
      </c>
      <c r="H59" s="61" t="str">
        <f>IF(OR(AND(C59=1,D59=0),AND(A59=0,D59=0)),"BANCOS",IF(OR(AND(C59=1,D59=1),AND(A59=1,B59=0,D59=1),AND(A59=1,B59=1,C59=0,D59=0)),"FAROLAS","PAPELERAS"))</f>
        <v>BANCOS</v>
      </c>
      <c r="J59" t="s">
        <v>251</v>
      </c>
      <c r="K59">
        <v>0</v>
      </c>
    </row>
    <row r="60" spans="1:11" ht="15" thickBot="1" x14ac:dyDescent="0.35">
      <c r="A60" s="45">
        <v>0</v>
      </c>
      <c r="B60" s="13">
        <v>0</v>
      </c>
      <c r="C60" s="13">
        <v>0</v>
      </c>
      <c r="D60" s="13">
        <v>1</v>
      </c>
      <c r="E60" s="115"/>
      <c r="F60" s="122">
        <v>2</v>
      </c>
      <c r="H60" s="120" t="str">
        <f t="shared" ref="H60:H74" si="6">IF(OR(AND(C60=1,D60=0),AND(A60=0,D60=0)),"BANCOS",IF(OR(AND(C60=1,D60=1),AND(A60=1,B60=0,D60=1),AND(A60=1,B60=1,C60=0,D60=0)),"FAROLAS","PAPELERAS"))</f>
        <v>PAPELERAS</v>
      </c>
      <c r="J60" t="s">
        <v>252</v>
      </c>
      <c r="K60">
        <v>1</v>
      </c>
    </row>
    <row r="61" spans="1:11" ht="15" thickBot="1" x14ac:dyDescent="0.35">
      <c r="A61" s="45">
        <v>0</v>
      </c>
      <c r="B61" s="13">
        <v>0</v>
      </c>
      <c r="C61" s="13">
        <v>1</v>
      </c>
      <c r="D61" s="13">
        <v>0</v>
      </c>
      <c r="E61" s="115"/>
      <c r="F61" s="122">
        <v>1</v>
      </c>
      <c r="H61" s="120" t="str">
        <f t="shared" si="6"/>
        <v>BANCOS</v>
      </c>
      <c r="J61" t="s">
        <v>253</v>
      </c>
      <c r="K61">
        <v>2</v>
      </c>
    </row>
    <row r="62" spans="1:11" ht="15" thickBot="1" x14ac:dyDescent="0.35">
      <c r="A62" s="45">
        <v>0</v>
      </c>
      <c r="B62" s="13">
        <v>0</v>
      </c>
      <c r="C62" s="13">
        <v>1</v>
      </c>
      <c r="D62" s="13">
        <v>1</v>
      </c>
      <c r="E62" s="115"/>
      <c r="F62" s="122">
        <v>0</v>
      </c>
      <c r="H62" s="120" t="str">
        <f t="shared" si="6"/>
        <v>FAROLAS</v>
      </c>
    </row>
    <row r="63" spans="1:11" ht="15" thickBot="1" x14ac:dyDescent="0.35">
      <c r="A63" s="45">
        <v>0</v>
      </c>
      <c r="B63" s="13">
        <v>1</v>
      </c>
      <c r="C63" s="13">
        <v>0</v>
      </c>
      <c r="D63" s="13">
        <v>0</v>
      </c>
      <c r="E63" s="115"/>
      <c r="F63" s="46">
        <v>1</v>
      </c>
      <c r="H63" s="120" t="str">
        <f t="shared" si="6"/>
        <v>BANCOS</v>
      </c>
    </row>
    <row r="64" spans="1:11" ht="15" thickBot="1" x14ac:dyDescent="0.35">
      <c r="A64" s="45">
        <v>0</v>
      </c>
      <c r="B64" s="13">
        <v>1</v>
      </c>
      <c r="C64" s="13">
        <v>0</v>
      </c>
      <c r="D64" s="13">
        <v>1</v>
      </c>
      <c r="E64" s="115"/>
      <c r="F64" s="46">
        <v>2</v>
      </c>
      <c r="H64" s="120" t="str">
        <f t="shared" si="6"/>
        <v>PAPELERAS</v>
      </c>
    </row>
    <row r="65" spans="1:16" ht="15" thickBot="1" x14ac:dyDescent="0.35">
      <c r="A65" s="45">
        <v>0</v>
      </c>
      <c r="B65" s="13">
        <v>1</v>
      </c>
      <c r="C65" s="13">
        <v>1</v>
      </c>
      <c r="D65" s="13">
        <v>0</v>
      </c>
      <c r="E65" s="115"/>
      <c r="F65" s="46">
        <v>1</v>
      </c>
      <c r="H65" s="120" t="str">
        <f>IF(OR(AND(C65=1,D65=0),AND(A65=0,D65=0)),"BANCOS",IF(OR(AND(C65=1,D65=1),AND(A65=1,B65=0,D65=1),AND(A65=1,B65=1,C65=0,D65=0)),"FAROLAS","PAPELERAS"))</f>
        <v>BANCOS</v>
      </c>
    </row>
    <row r="66" spans="1:16" ht="15" thickBot="1" x14ac:dyDescent="0.35">
      <c r="A66" s="45">
        <v>0</v>
      </c>
      <c r="B66" s="13">
        <v>1</v>
      </c>
      <c r="C66" s="13">
        <v>1</v>
      </c>
      <c r="D66" s="13">
        <v>1</v>
      </c>
      <c r="E66" s="115"/>
      <c r="F66" s="46">
        <v>0</v>
      </c>
      <c r="H66" s="120" t="str">
        <f t="shared" si="6"/>
        <v>FAROLAS</v>
      </c>
    </row>
    <row r="67" spans="1:16" ht="15" thickBot="1" x14ac:dyDescent="0.35">
      <c r="A67" s="45">
        <v>1</v>
      </c>
      <c r="B67" s="13">
        <v>0</v>
      </c>
      <c r="C67" s="13">
        <v>0</v>
      </c>
      <c r="D67" s="13">
        <v>0</v>
      </c>
      <c r="E67" s="115"/>
      <c r="F67" s="122">
        <v>2</v>
      </c>
      <c r="H67" s="120" t="str">
        <f t="shared" si="6"/>
        <v>PAPELERAS</v>
      </c>
    </row>
    <row r="68" spans="1:16" ht="15" thickBot="1" x14ac:dyDescent="0.35">
      <c r="A68" s="45">
        <v>1</v>
      </c>
      <c r="B68" s="13">
        <v>0</v>
      </c>
      <c r="C68" s="13">
        <v>0</v>
      </c>
      <c r="D68" s="13">
        <v>1</v>
      </c>
      <c r="E68" s="115"/>
      <c r="F68" s="122">
        <v>0</v>
      </c>
      <c r="H68" s="120" t="str">
        <f t="shared" si="6"/>
        <v>FAROLAS</v>
      </c>
    </row>
    <row r="69" spans="1:16" ht="15" thickBot="1" x14ac:dyDescent="0.35">
      <c r="A69" s="45">
        <v>1</v>
      </c>
      <c r="B69" s="13">
        <v>0</v>
      </c>
      <c r="C69" s="13">
        <v>1</v>
      </c>
      <c r="D69" s="13">
        <v>0</v>
      </c>
      <c r="E69" s="115"/>
      <c r="F69" s="122">
        <v>1</v>
      </c>
      <c r="H69" s="120" t="str">
        <f t="shared" si="6"/>
        <v>BANCOS</v>
      </c>
    </row>
    <row r="70" spans="1:16" ht="15" thickBot="1" x14ac:dyDescent="0.35">
      <c r="A70" s="45">
        <v>1</v>
      </c>
      <c r="B70" s="13">
        <v>0</v>
      </c>
      <c r="C70" s="13">
        <v>1</v>
      </c>
      <c r="D70" s="13">
        <v>1</v>
      </c>
      <c r="E70" s="115"/>
      <c r="F70" s="122">
        <v>0</v>
      </c>
      <c r="H70" s="120" t="str">
        <f t="shared" si="6"/>
        <v>FAROLAS</v>
      </c>
    </row>
    <row r="71" spans="1:16" ht="15" thickBot="1" x14ac:dyDescent="0.35">
      <c r="A71" s="45">
        <v>1</v>
      </c>
      <c r="B71" s="13">
        <v>1</v>
      </c>
      <c r="C71" s="13">
        <v>0</v>
      </c>
      <c r="D71" s="13">
        <v>0</v>
      </c>
      <c r="E71" s="115"/>
      <c r="F71" s="46">
        <v>0</v>
      </c>
      <c r="H71" s="120" t="str">
        <f t="shared" si="6"/>
        <v>FAROLAS</v>
      </c>
    </row>
    <row r="72" spans="1:16" ht="15" thickBot="1" x14ac:dyDescent="0.35">
      <c r="A72" s="45">
        <v>1</v>
      </c>
      <c r="B72" s="13">
        <v>1</v>
      </c>
      <c r="C72" s="13">
        <v>0</v>
      </c>
      <c r="D72" s="13">
        <v>1</v>
      </c>
      <c r="E72" s="115"/>
      <c r="F72" s="46">
        <v>2</v>
      </c>
      <c r="H72" s="120" t="str">
        <f t="shared" si="6"/>
        <v>PAPELERAS</v>
      </c>
    </row>
    <row r="73" spans="1:16" ht="15" thickBot="1" x14ac:dyDescent="0.35">
      <c r="A73" s="45">
        <v>1</v>
      </c>
      <c r="B73" s="13">
        <v>1</v>
      </c>
      <c r="C73" s="13">
        <v>1</v>
      </c>
      <c r="D73" s="13">
        <v>0</v>
      </c>
      <c r="E73" s="115"/>
      <c r="F73" s="46">
        <v>1</v>
      </c>
      <c r="H73" s="120" t="str">
        <f t="shared" si="6"/>
        <v>BANCOS</v>
      </c>
    </row>
    <row r="74" spans="1:16" ht="15" thickBot="1" x14ac:dyDescent="0.35">
      <c r="A74" s="47">
        <v>1</v>
      </c>
      <c r="B74" s="48">
        <v>1</v>
      </c>
      <c r="C74" s="48">
        <v>1</v>
      </c>
      <c r="D74" s="48">
        <v>1</v>
      </c>
      <c r="E74" s="119"/>
      <c r="F74" s="49">
        <v>0</v>
      </c>
      <c r="H74" s="120" t="str">
        <f t="shared" si="6"/>
        <v>FAROLAS</v>
      </c>
    </row>
    <row r="76" spans="1:16" ht="15" thickBot="1" x14ac:dyDescent="0.35"/>
    <row r="77" spans="1:16" ht="15" thickBot="1" x14ac:dyDescent="0.35">
      <c r="A77" s="128" t="s">
        <v>246</v>
      </c>
      <c r="B77" s="129" t="s">
        <v>242</v>
      </c>
      <c r="C77" s="129" t="s">
        <v>243</v>
      </c>
      <c r="D77" s="130" t="s">
        <v>121</v>
      </c>
      <c r="E77" s="131"/>
      <c r="F77" s="132" t="s">
        <v>244</v>
      </c>
      <c r="G77" s="78"/>
      <c r="H77" s="134" t="s">
        <v>244</v>
      </c>
    </row>
    <row r="78" spans="1:16" x14ac:dyDescent="0.3">
      <c r="A78" s="44">
        <v>0</v>
      </c>
      <c r="B78" s="116">
        <v>0</v>
      </c>
      <c r="C78" s="116">
        <v>0</v>
      </c>
      <c r="D78" s="116">
        <v>0</v>
      </c>
      <c r="E78" s="117"/>
      <c r="F78" s="121">
        <v>1</v>
      </c>
      <c r="H78" s="61" t="str">
        <f t="shared" ref="H78:H93" si="7">IF(AND(A78=1,B78=0,C78=1,D78=1),"OPTIMUS",IF(OR(AND(A78=0,B78=0,D78=1),AND(A78=1,B78=1,D78=1),AND(A78=0,B78=1,C78=1,D78=0),AND(A78=1,B78=0,C78=0,D78=0)),"MALUS","BONUS"))</f>
        <v>BONUS</v>
      </c>
      <c r="M78">
        <v>30</v>
      </c>
      <c r="N78" t="s">
        <v>254</v>
      </c>
      <c r="P78">
        <v>0</v>
      </c>
    </row>
    <row r="79" spans="1:16" x14ac:dyDescent="0.3">
      <c r="A79" s="45">
        <v>0</v>
      </c>
      <c r="B79" s="13">
        <v>0</v>
      </c>
      <c r="C79" s="13">
        <v>0</v>
      </c>
      <c r="D79" s="13">
        <v>1</v>
      </c>
      <c r="E79" s="115"/>
      <c r="F79" s="122">
        <v>0</v>
      </c>
      <c r="H79" s="61" t="str">
        <f t="shared" si="7"/>
        <v>MALUS</v>
      </c>
      <c r="M79">
        <v>31</v>
      </c>
      <c r="N79" t="s">
        <v>255</v>
      </c>
      <c r="P79">
        <v>1</v>
      </c>
    </row>
    <row r="80" spans="1:16" x14ac:dyDescent="0.3">
      <c r="A80" s="45">
        <v>0</v>
      </c>
      <c r="B80" s="13">
        <v>0</v>
      </c>
      <c r="C80" s="13">
        <v>1</v>
      </c>
      <c r="D80" s="13">
        <v>0</v>
      </c>
      <c r="E80" s="115"/>
      <c r="F80" s="122">
        <v>1</v>
      </c>
      <c r="H80" s="61" t="str">
        <f t="shared" si="7"/>
        <v>BONUS</v>
      </c>
      <c r="M80">
        <v>28</v>
      </c>
      <c r="N80" t="s">
        <v>256</v>
      </c>
      <c r="P80">
        <v>2</v>
      </c>
    </row>
    <row r="81" spans="1:13" x14ac:dyDescent="0.3">
      <c r="A81" s="45">
        <v>0</v>
      </c>
      <c r="B81" s="13">
        <v>0</v>
      </c>
      <c r="C81" s="13">
        <v>1</v>
      </c>
      <c r="D81" s="13">
        <v>1</v>
      </c>
      <c r="E81" s="115"/>
      <c r="F81" s="122">
        <v>0</v>
      </c>
      <c r="H81" s="61" t="str">
        <f t="shared" si="7"/>
        <v>MALUS</v>
      </c>
    </row>
    <row r="82" spans="1:13" x14ac:dyDescent="0.3">
      <c r="A82" s="45">
        <v>0</v>
      </c>
      <c r="B82" s="13">
        <v>1</v>
      </c>
      <c r="C82" s="13">
        <v>0</v>
      </c>
      <c r="D82" s="13">
        <v>0</v>
      </c>
      <c r="E82" s="115"/>
      <c r="F82" s="46">
        <v>1</v>
      </c>
      <c r="H82" s="61" t="str">
        <f t="shared" si="7"/>
        <v>BONUS</v>
      </c>
    </row>
    <row r="83" spans="1:13" x14ac:dyDescent="0.3">
      <c r="A83" s="45">
        <v>0</v>
      </c>
      <c r="B83" s="13">
        <v>1</v>
      </c>
      <c r="C83" s="13">
        <v>0</v>
      </c>
      <c r="D83" s="13">
        <v>1</v>
      </c>
      <c r="E83" s="115"/>
      <c r="F83" s="46">
        <v>1</v>
      </c>
      <c r="H83" s="61" t="str">
        <f t="shared" si="7"/>
        <v>BONUS</v>
      </c>
      <c r="M83" t="s">
        <v>257</v>
      </c>
    </row>
    <row r="84" spans="1:13" x14ac:dyDescent="0.3">
      <c r="A84" s="45">
        <v>0</v>
      </c>
      <c r="B84" s="13">
        <v>1</v>
      </c>
      <c r="C84" s="13">
        <v>1</v>
      </c>
      <c r="D84" s="13">
        <v>0</v>
      </c>
      <c r="E84" s="115"/>
      <c r="F84" s="46">
        <v>0</v>
      </c>
      <c r="H84" s="61" t="str">
        <f t="shared" si="7"/>
        <v>MALUS</v>
      </c>
    </row>
    <row r="85" spans="1:13" x14ac:dyDescent="0.3">
      <c r="A85" s="45">
        <v>0</v>
      </c>
      <c r="B85" s="13">
        <v>1</v>
      </c>
      <c r="C85" s="13">
        <v>1</v>
      </c>
      <c r="D85" s="13">
        <v>1</v>
      </c>
      <c r="E85" s="115"/>
      <c r="F85" s="46">
        <v>1</v>
      </c>
      <c r="H85" s="61" t="str">
        <f t="shared" si="7"/>
        <v>BONUS</v>
      </c>
    </row>
    <row r="86" spans="1:13" x14ac:dyDescent="0.3">
      <c r="A86" s="45">
        <v>1</v>
      </c>
      <c r="B86" s="13">
        <v>0</v>
      </c>
      <c r="C86" s="13">
        <v>0</v>
      </c>
      <c r="D86" s="13">
        <v>0</v>
      </c>
      <c r="E86" s="115"/>
      <c r="F86" s="122">
        <v>0</v>
      </c>
      <c r="H86" s="61" t="str">
        <f t="shared" si="7"/>
        <v>MALUS</v>
      </c>
    </row>
    <row r="87" spans="1:13" x14ac:dyDescent="0.3">
      <c r="A87" s="45">
        <v>1</v>
      </c>
      <c r="B87" s="13">
        <v>0</v>
      </c>
      <c r="C87" s="13">
        <v>0</v>
      </c>
      <c r="D87" s="13">
        <v>1</v>
      </c>
      <c r="E87" s="115"/>
      <c r="F87" s="122">
        <v>1</v>
      </c>
      <c r="H87" s="61" t="str">
        <f t="shared" si="7"/>
        <v>BONUS</v>
      </c>
    </row>
    <row r="88" spans="1:13" x14ac:dyDescent="0.3">
      <c r="A88" s="45">
        <v>1</v>
      </c>
      <c r="B88" s="13">
        <v>0</v>
      </c>
      <c r="C88" s="13">
        <v>1</v>
      </c>
      <c r="D88" s="13">
        <v>0</v>
      </c>
      <c r="E88" s="115"/>
      <c r="F88" s="122">
        <v>1</v>
      </c>
      <c r="H88" s="61" t="str">
        <f t="shared" si="7"/>
        <v>BONUS</v>
      </c>
    </row>
    <row r="89" spans="1:13" x14ac:dyDescent="0.3">
      <c r="A89" s="45">
        <v>1</v>
      </c>
      <c r="B89" s="13">
        <v>0</v>
      </c>
      <c r="C89" s="13">
        <v>1</v>
      </c>
      <c r="D89" s="13">
        <v>1</v>
      </c>
      <c r="E89" s="115"/>
      <c r="F89" s="122">
        <v>2</v>
      </c>
      <c r="H89" s="61" t="str">
        <f t="shared" si="7"/>
        <v>OPTIMUS</v>
      </c>
    </row>
    <row r="90" spans="1:13" x14ac:dyDescent="0.3">
      <c r="A90" s="45">
        <v>1</v>
      </c>
      <c r="B90" s="13">
        <v>1</v>
      </c>
      <c r="C90" s="13">
        <v>0</v>
      </c>
      <c r="D90" s="13">
        <v>0</v>
      </c>
      <c r="E90" s="115"/>
      <c r="F90" s="46">
        <v>1</v>
      </c>
      <c r="H90" s="61" t="str">
        <f t="shared" si="7"/>
        <v>BONUS</v>
      </c>
    </row>
    <row r="91" spans="1:13" x14ac:dyDescent="0.3">
      <c r="A91" s="45">
        <v>1</v>
      </c>
      <c r="B91" s="13">
        <v>1</v>
      </c>
      <c r="C91" s="13">
        <v>0</v>
      </c>
      <c r="D91" s="13">
        <v>1</v>
      </c>
      <c r="E91" s="115"/>
      <c r="F91" s="46">
        <v>0</v>
      </c>
      <c r="H91" s="61" t="str">
        <f t="shared" si="7"/>
        <v>MALUS</v>
      </c>
    </row>
    <row r="92" spans="1:13" x14ac:dyDescent="0.3">
      <c r="A92" s="45">
        <v>1</v>
      </c>
      <c r="B92" s="13">
        <v>1</v>
      </c>
      <c r="C92" s="13">
        <v>1</v>
      </c>
      <c r="D92" s="13">
        <v>0</v>
      </c>
      <c r="E92" s="115"/>
      <c r="F92" s="46">
        <v>1</v>
      </c>
      <c r="H92" s="61" t="str">
        <f t="shared" si="7"/>
        <v>BONUS</v>
      </c>
    </row>
    <row r="93" spans="1:13" ht="15" thickBot="1" x14ac:dyDescent="0.35">
      <c r="A93" s="47">
        <v>1</v>
      </c>
      <c r="B93" s="48">
        <v>1</v>
      </c>
      <c r="C93" s="48">
        <v>1</v>
      </c>
      <c r="D93" s="48">
        <v>1</v>
      </c>
      <c r="E93" s="119"/>
      <c r="F93" s="49">
        <v>0</v>
      </c>
      <c r="H93" s="61" t="str">
        <f t="shared" si="7"/>
        <v>MALUS</v>
      </c>
    </row>
    <row r="95" spans="1:13" ht="15" thickBot="1" x14ac:dyDescent="0.35"/>
    <row r="96" spans="1:13" ht="15" thickBot="1" x14ac:dyDescent="0.35">
      <c r="A96" s="128" t="s">
        <v>246</v>
      </c>
      <c r="B96" s="129" t="s">
        <v>242</v>
      </c>
      <c r="C96" s="129" t="s">
        <v>243</v>
      </c>
      <c r="D96" s="130" t="s">
        <v>121</v>
      </c>
      <c r="E96" s="131"/>
      <c r="F96" s="132" t="s">
        <v>244</v>
      </c>
      <c r="G96" s="78"/>
      <c r="H96" s="134" t="s">
        <v>244</v>
      </c>
    </row>
    <row r="97" spans="1:8" x14ac:dyDescent="0.3">
      <c r="A97" s="44">
        <v>0</v>
      </c>
      <c r="B97" s="116">
        <v>0</v>
      </c>
      <c r="C97" s="116">
        <v>0</v>
      </c>
      <c r="D97" s="116">
        <v>0</v>
      </c>
      <c r="E97" s="117"/>
      <c r="F97" s="121">
        <v>0</v>
      </c>
      <c r="H97" s="61" t="str">
        <f>IF(OR(AND(A97=0,B97=1,C97=0),AND(A97=1,B97=0,D97=0),AND(A97=0,C97=0,D97=1),AND(B97=1,C97=0,D97=1),AND(A97=1,C97=1,D97=0),AND(B97=0,C97=1,D97=0)),"1","0")</f>
        <v>0</v>
      </c>
    </row>
    <row r="98" spans="1:8" x14ac:dyDescent="0.3">
      <c r="A98" s="45">
        <v>0</v>
      </c>
      <c r="B98" s="13">
        <v>0</v>
      </c>
      <c r="C98" s="13">
        <v>0</v>
      </c>
      <c r="D98" s="13">
        <v>1</v>
      </c>
      <c r="E98" s="115"/>
      <c r="F98" s="122">
        <v>1</v>
      </c>
      <c r="H98" s="61" t="str">
        <f t="shared" ref="H98:H112" si="8">IF(OR(AND(A98=0,B98=1,C98=0),AND(A98=1,B98=0,D98=0),AND(A98=0,C98=0,D98=1),AND(B98=1,C98=0,D98=1),AND(A98=1,C98=1,D98=0),AND(B98=0,C98=1,D98=0)),"1","0")</f>
        <v>1</v>
      </c>
    </row>
    <row r="99" spans="1:8" x14ac:dyDescent="0.3">
      <c r="A99" s="45">
        <v>0</v>
      </c>
      <c r="B99" s="13">
        <v>0</v>
      </c>
      <c r="C99" s="13">
        <v>1</v>
      </c>
      <c r="D99" s="13">
        <v>0</v>
      </c>
      <c r="E99" s="115"/>
      <c r="F99" s="122">
        <v>1</v>
      </c>
      <c r="H99" s="61" t="str">
        <f t="shared" si="8"/>
        <v>1</v>
      </c>
    </row>
    <row r="100" spans="1:8" x14ac:dyDescent="0.3">
      <c r="A100" s="45">
        <v>0</v>
      </c>
      <c r="B100" s="13">
        <v>0</v>
      </c>
      <c r="C100" s="13">
        <v>1</v>
      </c>
      <c r="D100" s="13">
        <v>1</v>
      </c>
      <c r="E100" s="115"/>
      <c r="F100" s="122">
        <v>0</v>
      </c>
      <c r="H100" s="61" t="str">
        <f t="shared" si="8"/>
        <v>0</v>
      </c>
    </row>
    <row r="101" spans="1:8" x14ac:dyDescent="0.3">
      <c r="A101" s="45">
        <v>0</v>
      </c>
      <c r="B101" s="13">
        <v>1</v>
      </c>
      <c r="C101" s="13">
        <v>0</v>
      </c>
      <c r="D101" s="13">
        <v>0</v>
      </c>
      <c r="E101" s="115"/>
      <c r="F101" s="46">
        <v>1</v>
      </c>
      <c r="H101" s="61" t="str">
        <f t="shared" si="8"/>
        <v>1</v>
      </c>
    </row>
    <row r="102" spans="1:8" x14ac:dyDescent="0.3">
      <c r="A102" s="45">
        <v>0</v>
      </c>
      <c r="B102" s="13">
        <v>1</v>
      </c>
      <c r="C102" s="13">
        <v>0</v>
      </c>
      <c r="D102" s="13">
        <v>1</v>
      </c>
      <c r="E102" s="115"/>
      <c r="F102" s="46">
        <v>1</v>
      </c>
      <c r="H102" s="61" t="str">
        <f t="shared" si="8"/>
        <v>1</v>
      </c>
    </row>
    <row r="103" spans="1:8" x14ac:dyDescent="0.3">
      <c r="A103" s="45">
        <v>0</v>
      </c>
      <c r="B103" s="13">
        <v>1</v>
      </c>
      <c r="C103" s="13">
        <v>1</v>
      </c>
      <c r="D103" s="13">
        <v>0</v>
      </c>
      <c r="E103" s="115"/>
      <c r="F103" s="46">
        <v>0</v>
      </c>
      <c r="H103" s="61" t="str">
        <f t="shared" si="8"/>
        <v>0</v>
      </c>
    </row>
    <row r="104" spans="1:8" x14ac:dyDescent="0.3">
      <c r="A104" s="45">
        <v>0</v>
      </c>
      <c r="B104" s="13">
        <v>1</v>
      </c>
      <c r="C104" s="13">
        <v>1</v>
      </c>
      <c r="D104" s="13">
        <v>1</v>
      </c>
      <c r="E104" s="115"/>
      <c r="F104" s="46">
        <v>0</v>
      </c>
      <c r="H104" s="61" t="str">
        <f t="shared" si="8"/>
        <v>0</v>
      </c>
    </row>
    <row r="105" spans="1:8" x14ac:dyDescent="0.3">
      <c r="A105" s="45">
        <v>1</v>
      </c>
      <c r="B105" s="13">
        <v>0</v>
      </c>
      <c r="C105" s="13">
        <v>0</v>
      </c>
      <c r="D105" s="13">
        <v>0</v>
      </c>
      <c r="E105" s="115"/>
      <c r="F105" s="122">
        <v>1</v>
      </c>
      <c r="H105" s="61" t="str">
        <f t="shared" si="8"/>
        <v>1</v>
      </c>
    </row>
    <row r="106" spans="1:8" x14ac:dyDescent="0.3">
      <c r="A106" s="45">
        <v>1</v>
      </c>
      <c r="B106" s="13">
        <v>0</v>
      </c>
      <c r="C106" s="13">
        <v>0</v>
      </c>
      <c r="D106" s="13">
        <v>1</v>
      </c>
      <c r="E106" s="115"/>
      <c r="F106" s="122">
        <v>0</v>
      </c>
      <c r="H106" s="61" t="str">
        <f t="shared" si="8"/>
        <v>0</v>
      </c>
    </row>
    <row r="107" spans="1:8" x14ac:dyDescent="0.3">
      <c r="A107" s="45">
        <v>1</v>
      </c>
      <c r="B107" s="13">
        <v>0</v>
      </c>
      <c r="C107" s="13">
        <v>1</v>
      </c>
      <c r="D107" s="13">
        <v>0</v>
      </c>
      <c r="E107" s="115"/>
      <c r="F107" s="122">
        <v>1</v>
      </c>
      <c r="H107" s="61" t="str">
        <f t="shared" si="8"/>
        <v>1</v>
      </c>
    </row>
    <row r="108" spans="1:8" x14ac:dyDescent="0.3">
      <c r="A108" s="45">
        <v>1</v>
      </c>
      <c r="B108" s="13">
        <v>0</v>
      </c>
      <c r="C108" s="13">
        <v>1</v>
      </c>
      <c r="D108" s="13">
        <v>1</v>
      </c>
      <c r="E108" s="115"/>
      <c r="F108" s="122">
        <v>0</v>
      </c>
      <c r="H108" s="61" t="str">
        <f t="shared" si="8"/>
        <v>0</v>
      </c>
    </row>
    <row r="109" spans="1:8" x14ac:dyDescent="0.3">
      <c r="A109" s="45">
        <v>1</v>
      </c>
      <c r="B109" s="13">
        <v>1</v>
      </c>
      <c r="C109" s="13">
        <v>0</v>
      </c>
      <c r="D109" s="13">
        <v>0</v>
      </c>
      <c r="E109" s="115"/>
      <c r="F109" s="46">
        <v>0</v>
      </c>
      <c r="H109" s="61" t="str">
        <f t="shared" si="8"/>
        <v>0</v>
      </c>
    </row>
    <row r="110" spans="1:8" x14ac:dyDescent="0.3">
      <c r="A110" s="45">
        <v>1</v>
      </c>
      <c r="B110" s="13">
        <v>1</v>
      </c>
      <c r="C110" s="13">
        <v>0</v>
      </c>
      <c r="D110" s="13">
        <v>1</v>
      </c>
      <c r="E110" s="115"/>
      <c r="F110" s="46">
        <v>1</v>
      </c>
      <c r="H110" s="61" t="str">
        <f t="shared" si="8"/>
        <v>1</v>
      </c>
    </row>
    <row r="111" spans="1:8" x14ac:dyDescent="0.3">
      <c r="A111" s="45">
        <v>1</v>
      </c>
      <c r="B111" s="13">
        <v>1</v>
      </c>
      <c r="C111" s="13">
        <v>1</v>
      </c>
      <c r="D111" s="13">
        <v>0</v>
      </c>
      <c r="E111" s="115"/>
      <c r="F111" s="46">
        <v>1</v>
      </c>
      <c r="H111" s="61" t="str">
        <f t="shared" si="8"/>
        <v>1</v>
      </c>
    </row>
    <row r="112" spans="1:8" ht="15" thickBot="1" x14ac:dyDescent="0.35">
      <c r="A112" s="47">
        <v>1</v>
      </c>
      <c r="B112" s="48">
        <v>1</v>
      </c>
      <c r="C112" s="48">
        <v>1</v>
      </c>
      <c r="D112" s="48">
        <v>1</v>
      </c>
      <c r="E112" s="119"/>
      <c r="F112" s="49">
        <v>0</v>
      </c>
      <c r="H112" s="61" t="str">
        <f t="shared" si="8"/>
        <v>0</v>
      </c>
    </row>
    <row r="113" spans="1:8" ht="15" thickBot="1" x14ac:dyDescent="0.35"/>
    <row r="114" spans="1:8" ht="15" thickBot="1" x14ac:dyDescent="0.35">
      <c r="A114" s="128" t="s">
        <v>246</v>
      </c>
      <c r="B114" s="129" t="s">
        <v>242</v>
      </c>
      <c r="C114" s="129" t="s">
        <v>243</v>
      </c>
      <c r="D114" s="130" t="s">
        <v>121</v>
      </c>
      <c r="E114" s="131"/>
      <c r="F114" s="132" t="s">
        <v>244</v>
      </c>
      <c r="G114" s="78"/>
      <c r="H114" s="134" t="s">
        <v>244</v>
      </c>
    </row>
    <row r="115" spans="1:8" x14ac:dyDescent="0.3">
      <c r="A115" s="44">
        <v>0</v>
      </c>
      <c r="B115" s="116">
        <v>0</v>
      </c>
      <c r="C115" s="116">
        <v>0</v>
      </c>
      <c r="D115" s="116">
        <v>0</v>
      </c>
      <c r="E115" s="117"/>
      <c r="F115" s="121">
        <v>1</v>
      </c>
      <c r="H115" s="61">
        <f>IF(OR(AND(A115=0,B115=0,C115=0),AND(A115=0,C115=0,D115=0),AND(B115=0,C115=0,D115=0),AND(A115=0,B115=0,D115=0)),1,IF(OR(AND(B115=1,C115=1,D115=1),AND(A115=1,C115=1,D115=1),AND(A115=1,B115=1,D115=1),AND(A115=1,B115=1,C115=1)),0,2))</f>
        <v>1</v>
      </c>
    </row>
    <row r="116" spans="1:8" x14ac:dyDescent="0.3">
      <c r="A116" s="45">
        <v>0</v>
      </c>
      <c r="B116" s="13">
        <v>0</v>
      </c>
      <c r="C116" s="13">
        <v>0</v>
      </c>
      <c r="D116" s="13">
        <v>1</v>
      </c>
      <c r="E116" s="115"/>
      <c r="F116" s="122">
        <v>1</v>
      </c>
      <c r="H116" s="61">
        <f t="shared" ref="H116:H130" si="9">IF(OR(AND(A116=0,B116=0,C116=0),AND(A116=0,C116=0,D116=0),AND(B116=0,C116=0,D116=0),AND(A116=0,B116=0,D116=0)),1,IF(OR(AND(B116=1,C116=1,D116=1),AND(A116=1,C116=1,D116=1),AND(A116=1,B116=1,D116=1),AND(A116=1,B116=1,C116=1)),0,2))</f>
        <v>1</v>
      </c>
    </row>
    <row r="117" spans="1:8" x14ac:dyDescent="0.3">
      <c r="A117" s="45">
        <v>0</v>
      </c>
      <c r="B117" s="13">
        <v>0</v>
      </c>
      <c r="C117" s="13">
        <v>1</v>
      </c>
      <c r="D117" s="13">
        <v>0</v>
      </c>
      <c r="E117" s="115"/>
      <c r="F117" s="122">
        <v>1</v>
      </c>
      <c r="H117" s="61">
        <f t="shared" si="9"/>
        <v>1</v>
      </c>
    </row>
    <row r="118" spans="1:8" x14ac:dyDescent="0.3">
      <c r="A118" s="45">
        <v>0</v>
      </c>
      <c r="B118" s="13">
        <v>0</v>
      </c>
      <c r="C118" s="13">
        <v>1</v>
      </c>
      <c r="D118" s="13">
        <v>1</v>
      </c>
      <c r="E118" s="115"/>
      <c r="F118" s="122">
        <v>2</v>
      </c>
      <c r="H118" s="61">
        <f t="shared" si="9"/>
        <v>2</v>
      </c>
    </row>
    <row r="119" spans="1:8" x14ac:dyDescent="0.3">
      <c r="A119" s="45">
        <v>0</v>
      </c>
      <c r="B119" s="13">
        <v>1</v>
      </c>
      <c r="C119" s="13">
        <v>0</v>
      </c>
      <c r="D119" s="13">
        <v>0</v>
      </c>
      <c r="E119" s="115"/>
      <c r="F119" s="46">
        <v>1</v>
      </c>
      <c r="H119" s="61">
        <f t="shared" si="9"/>
        <v>1</v>
      </c>
    </row>
    <row r="120" spans="1:8" x14ac:dyDescent="0.3">
      <c r="A120" s="45">
        <v>0</v>
      </c>
      <c r="B120" s="13">
        <v>1</v>
      </c>
      <c r="C120" s="13">
        <v>0</v>
      </c>
      <c r="D120" s="13">
        <v>1</v>
      </c>
      <c r="E120" s="115"/>
      <c r="F120" s="46">
        <v>2</v>
      </c>
      <c r="H120" s="61">
        <f t="shared" si="9"/>
        <v>2</v>
      </c>
    </row>
    <row r="121" spans="1:8" x14ac:dyDescent="0.3">
      <c r="A121" s="45">
        <v>0</v>
      </c>
      <c r="B121" s="13">
        <v>1</v>
      </c>
      <c r="C121" s="13">
        <v>1</v>
      </c>
      <c r="D121" s="13">
        <v>0</v>
      </c>
      <c r="E121" s="115"/>
      <c r="F121" s="46">
        <v>2</v>
      </c>
      <c r="H121" s="61">
        <f t="shared" si="9"/>
        <v>2</v>
      </c>
    </row>
    <row r="122" spans="1:8" x14ac:dyDescent="0.3">
      <c r="A122" s="45">
        <v>0</v>
      </c>
      <c r="B122" s="13">
        <v>1</v>
      </c>
      <c r="C122" s="13">
        <v>1</v>
      </c>
      <c r="D122" s="13">
        <v>1</v>
      </c>
      <c r="E122" s="115"/>
      <c r="F122" s="46">
        <v>0</v>
      </c>
      <c r="H122" s="61">
        <f t="shared" si="9"/>
        <v>0</v>
      </c>
    </row>
    <row r="123" spans="1:8" x14ac:dyDescent="0.3">
      <c r="A123" s="45">
        <v>1</v>
      </c>
      <c r="B123" s="13">
        <v>0</v>
      </c>
      <c r="C123" s="13">
        <v>0</v>
      </c>
      <c r="D123" s="13">
        <v>0</v>
      </c>
      <c r="E123" s="115"/>
      <c r="F123" s="122">
        <v>1</v>
      </c>
      <c r="H123" s="61">
        <f t="shared" si="9"/>
        <v>1</v>
      </c>
    </row>
    <row r="124" spans="1:8" x14ac:dyDescent="0.3">
      <c r="A124" s="45">
        <v>1</v>
      </c>
      <c r="B124" s="13">
        <v>0</v>
      </c>
      <c r="C124" s="13">
        <v>0</v>
      </c>
      <c r="D124" s="13">
        <v>1</v>
      </c>
      <c r="E124" s="115"/>
      <c r="F124" s="122">
        <v>2</v>
      </c>
      <c r="H124" s="61">
        <f t="shared" si="9"/>
        <v>2</v>
      </c>
    </row>
    <row r="125" spans="1:8" x14ac:dyDescent="0.3">
      <c r="A125" s="45">
        <v>1</v>
      </c>
      <c r="B125" s="13">
        <v>0</v>
      </c>
      <c r="C125" s="13">
        <v>1</v>
      </c>
      <c r="D125" s="13">
        <v>0</v>
      </c>
      <c r="E125" s="115"/>
      <c r="F125" s="122">
        <v>2</v>
      </c>
      <c r="H125" s="61">
        <f t="shared" si="9"/>
        <v>2</v>
      </c>
    </row>
    <row r="126" spans="1:8" x14ac:dyDescent="0.3">
      <c r="A126" s="45">
        <v>1</v>
      </c>
      <c r="B126" s="13">
        <v>0</v>
      </c>
      <c r="C126" s="13">
        <v>1</v>
      </c>
      <c r="D126" s="13">
        <v>1</v>
      </c>
      <c r="E126" s="115"/>
      <c r="F126" s="122">
        <v>0</v>
      </c>
      <c r="H126" s="61">
        <f t="shared" si="9"/>
        <v>0</v>
      </c>
    </row>
    <row r="127" spans="1:8" x14ac:dyDescent="0.3">
      <c r="A127" s="45">
        <v>1</v>
      </c>
      <c r="B127" s="13">
        <v>1</v>
      </c>
      <c r="C127" s="13">
        <v>0</v>
      </c>
      <c r="D127" s="13">
        <v>0</v>
      </c>
      <c r="E127" s="115"/>
      <c r="F127" s="46">
        <v>2</v>
      </c>
      <c r="H127" s="61">
        <f t="shared" si="9"/>
        <v>2</v>
      </c>
    </row>
    <row r="128" spans="1:8" x14ac:dyDescent="0.3">
      <c r="A128" s="45">
        <v>1</v>
      </c>
      <c r="B128" s="13">
        <v>1</v>
      </c>
      <c r="C128" s="13">
        <v>0</v>
      </c>
      <c r="D128" s="13">
        <v>1</v>
      </c>
      <c r="E128" s="115"/>
      <c r="F128" s="46">
        <v>0</v>
      </c>
      <c r="H128" s="61">
        <f t="shared" si="9"/>
        <v>0</v>
      </c>
    </row>
    <row r="129" spans="1:8" x14ac:dyDescent="0.3">
      <c r="A129" s="45">
        <v>1</v>
      </c>
      <c r="B129" s="13">
        <v>1</v>
      </c>
      <c r="C129" s="13">
        <v>1</v>
      </c>
      <c r="D129" s="13">
        <v>0</v>
      </c>
      <c r="E129" s="115"/>
      <c r="F129" s="46">
        <v>0</v>
      </c>
      <c r="H129" s="61">
        <f t="shared" si="9"/>
        <v>0</v>
      </c>
    </row>
    <row r="130" spans="1:8" ht="15" thickBot="1" x14ac:dyDescent="0.35">
      <c r="A130" s="47">
        <v>1</v>
      </c>
      <c r="B130" s="48">
        <v>1</v>
      </c>
      <c r="C130" s="48">
        <v>1</v>
      </c>
      <c r="D130" s="48">
        <v>1</v>
      </c>
      <c r="E130" s="119"/>
      <c r="F130" s="49">
        <v>0</v>
      </c>
      <c r="H130" s="61">
        <f t="shared" si="9"/>
        <v>0</v>
      </c>
    </row>
    <row r="132" spans="1:8" ht="15" thickBot="1" x14ac:dyDescent="0.35"/>
    <row r="133" spans="1:8" ht="15" thickBot="1" x14ac:dyDescent="0.35">
      <c r="A133" s="128" t="s">
        <v>246</v>
      </c>
      <c r="B133" s="129" t="s">
        <v>242</v>
      </c>
      <c r="C133" s="129" t="s">
        <v>243</v>
      </c>
      <c r="D133" s="130" t="s">
        <v>121</v>
      </c>
      <c r="E133" s="131"/>
      <c r="F133" s="132" t="s">
        <v>244</v>
      </c>
      <c r="G133" s="78"/>
      <c r="H133" s="134" t="s">
        <v>244</v>
      </c>
    </row>
    <row r="134" spans="1:8" x14ac:dyDescent="0.3">
      <c r="A134" s="44">
        <v>0</v>
      </c>
      <c r="B134" s="116">
        <v>0</v>
      </c>
      <c r="C134" s="116">
        <v>0</v>
      </c>
      <c r="D134" s="116">
        <v>0</v>
      </c>
      <c r="E134" s="117"/>
      <c r="F134" s="121">
        <v>3</v>
      </c>
      <c r="H134" s="61" t="str">
        <f>IF(OR(AND(A134=1,B134=0,C134=0,D134=0)),"ALUMBRADO",IF(OR(AND(A134=0,B134=0,C134=0),AND(A134=0,C134=0,D134=0),AND(A134=0,B134=0,D134=0),AND(A134=1,B134=1,C134=1,D134=1)),"NO HACER NADA",IF(OR(AND(A134=0,B134=1,C134=1,D134=1),AND(A134=1,B134=1,C134=0,D134=1),AND(A134=1,B134=1,C134=1,D134=0),AND(A134=1,B134=0,C134=1,D134=1)),"TUBERIAS","CARRETERAS")))</f>
        <v>NO HACER NADA</v>
      </c>
    </row>
    <row r="135" spans="1:8" x14ac:dyDescent="0.3">
      <c r="A135" s="45">
        <v>0</v>
      </c>
      <c r="B135" s="13">
        <v>0</v>
      </c>
      <c r="C135" s="13">
        <v>0</v>
      </c>
      <c r="D135" s="13">
        <v>1</v>
      </c>
      <c r="E135" s="115"/>
      <c r="F135" s="122">
        <v>3</v>
      </c>
      <c r="H135" s="61" t="str">
        <f t="shared" ref="H135:H149" si="10">IF(OR(AND(A135=1,B135=0,C135=0,D135=0)),"ALUMBRADO",IF(OR(AND(A135=0,B135=0,C135=0),AND(A135=0,C135=0,D135=0),AND(A135=0,B135=0,D135=0),AND(A135=1,B135=1,C135=1,D135=1)),"NO HACER NADA",IF(OR(AND(A135=0,B135=1,C135=1,D135=1),AND(A135=1,B135=1,C135=0,D135=1),AND(A135=1,B135=1,C135=1,D135=0),AND(A135=1,B135=0,C135=1,D135=1)),"TUBERIAS","CARRETERAS")))</f>
        <v>NO HACER NADA</v>
      </c>
    </row>
    <row r="136" spans="1:8" x14ac:dyDescent="0.3">
      <c r="A136" s="45">
        <v>0</v>
      </c>
      <c r="B136" s="13">
        <v>0</v>
      </c>
      <c r="C136" s="13">
        <v>1</v>
      </c>
      <c r="D136" s="13">
        <v>0</v>
      </c>
      <c r="E136" s="115"/>
      <c r="F136" s="122">
        <v>3</v>
      </c>
      <c r="H136" s="61" t="str">
        <f t="shared" si="10"/>
        <v>NO HACER NADA</v>
      </c>
    </row>
    <row r="137" spans="1:8" x14ac:dyDescent="0.3">
      <c r="A137" s="45">
        <v>0</v>
      </c>
      <c r="B137" s="13">
        <v>0</v>
      </c>
      <c r="C137" s="13">
        <v>1</v>
      </c>
      <c r="D137" s="13">
        <v>1</v>
      </c>
      <c r="E137" s="115"/>
      <c r="F137" s="122">
        <v>1</v>
      </c>
      <c r="H137" s="61" t="str">
        <f t="shared" si="10"/>
        <v>CARRETERAS</v>
      </c>
    </row>
    <row r="138" spans="1:8" x14ac:dyDescent="0.3">
      <c r="A138" s="45">
        <v>0</v>
      </c>
      <c r="B138" s="13">
        <v>1</v>
      </c>
      <c r="C138" s="13">
        <v>0</v>
      </c>
      <c r="D138" s="13">
        <v>0</v>
      </c>
      <c r="E138" s="115"/>
      <c r="F138" s="46">
        <v>3</v>
      </c>
      <c r="H138" s="61" t="str">
        <f t="shared" si="10"/>
        <v>NO HACER NADA</v>
      </c>
    </row>
    <row r="139" spans="1:8" x14ac:dyDescent="0.3">
      <c r="A139" s="45">
        <v>0</v>
      </c>
      <c r="B139" s="13">
        <v>1</v>
      </c>
      <c r="C139" s="13">
        <v>0</v>
      </c>
      <c r="D139" s="13">
        <v>1</v>
      </c>
      <c r="E139" s="115"/>
      <c r="F139" s="46">
        <v>1</v>
      </c>
      <c r="H139" s="61" t="str">
        <f t="shared" si="10"/>
        <v>CARRETERAS</v>
      </c>
    </row>
    <row r="140" spans="1:8" x14ac:dyDescent="0.3">
      <c r="A140" s="45">
        <v>0</v>
      </c>
      <c r="B140" s="13">
        <v>1</v>
      </c>
      <c r="C140" s="13">
        <v>1</v>
      </c>
      <c r="D140" s="13">
        <v>0</v>
      </c>
      <c r="E140" s="115"/>
      <c r="F140" s="46">
        <v>1</v>
      </c>
      <c r="H140" s="61" t="str">
        <f t="shared" si="10"/>
        <v>CARRETERAS</v>
      </c>
    </row>
    <row r="141" spans="1:8" x14ac:dyDescent="0.3">
      <c r="A141" s="45">
        <v>0</v>
      </c>
      <c r="B141" s="13">
        <v>1</v>
      </c>
      <c r="C141" s="13">
        <v>1</v>
      </c>
      <c r="D141" s="13">
        <v>1</v>
      </c>
      <c r="E141" s="115"/>
      <c r="F141" s="46">
        <v>0</v>
      </c>
      <c r="H141" s="61" t="str">
        <f t="shared" si="10"/>
        <v>TUBERIAS</v>
      </c>
    </row>
    <row r="142" spans="1:8" x14ac:dyDescent="0.3">
      <c r="A142" s="45">
        <v>1</v>
      </c>
      <c r="B142" s="13">
        <v>0</v>
      </c>
      <c r="C142" s="13">
        <v>0</v>
      </c>
      <c r="D142" s="13">
        <v>0</v>
      </c>
      <c r="E142" s="115"/>
      <c r="F142" s="122">
        <v>2</v>
      </c>
      <c r="H142" s="61" t="str">
        <f t="shared" si="10"/>
        <v>ALUMBRADO</v>
      </c>
    </row>
    <row r="143" spans="1:8" x14ac:dyDescent="0.3">
      <c r="A143" s="45">
        <v>1</v>
      </c>
      <c r="B143" s="13">
        <v>0</v>
      </c>
      <c r="C143" s="13">
        <v>0</v>
      </c>
      <c r="D143" s="13">
        <v>1</v>
      </c>
      <c r="E143" s="115"/>
      <c r="F143" s="122">
        <v>1</v>
      </c>
      <c r="H143" s="61" t="str">
        <f t="shared" si="10"/>
        <v>CARRETERAS</v>
      </c>
    </row>
    <row r="144" spans="1:8" x14ac:dyDescent="0.3">
      <c r="A144" s="45">
        <v>1</v>
      </c>
      <c r="B144" s="13">
        <v>0</v>
      </c>
      <c r="C144" s="13">
        <v>1</v>
      </c>
      <c r="D144" s="13">
        <v>0</v>
      </c>
      <c r="E144" s="115"/>
      <c r="F144" s="122">
        <v>1</v>
      </c>
      <c r="H144" s="61" t="str">
        <f t="shared" si="10"/>
        <v>CARRETERAS</v>
      </c>
    </row>
    <row r="145" spans="1:8" x14ac:dyDescent="0.3">
      <c r="A145" s="45">
        <v>1</v>
      </c>
      <c r="B145" s="13">
        <v>0</v>
      </c>
      <c r="C145" s="13">
        <v>1</v>
      </c>
      <c r="D145" s="13">
        <v>1</v>
      </c>
      <c r="E145" s="115"/>
      <c r="F145" s="122">
        <v>0</v>
      </c>
      <c r="H145" s="61" t="str">
        <f t="shared" si="10"/>
        <v>TUBERIAS</v>
      </c>
    </row>
    <row r="146" spans="1:8" x14ac:dyDescent="0.3">
      <c r="A146" s="45">
        <v>1</v>
      </c>
      <c r="B146" s="13">
        <v>1</v>
      </c>
      <c r="C146" s="13">
        <v>0</v>
      </c>
      <c r="D146" s="13">
        <v>0</v>
      </c>
      <c r="E146" s="115"/>
      <c r="F146" s="46">
        <v>1</v>
      </c>
      <c r="H146" s="61" t="str">
        <f t="shared" si="10"/>
        <v>CARRETERAS</v>
      </c>
    </row>
    <row r="147" spans="1:8" x14ac:dyDescent="0.3">
      <c r="A147" s="45">
        <v>1</v>
      </c>
      <c r="B147" s="13">
        <v>1</v>
      </c>
      <c r="C147" s="13">
        <v>0</v>
      </c>
      <c r="D147" s="13">
        <v>1</v>
      </c>
      <c r="E147" s="115"/>
      <c r="F147" s="46">
        <v>0</v>
      </c>
      <c r="H147" s="61" t="str">
        <f t="shared" si="10"/>
        <v>TUBERIAS</v>
      </c>
    </row>
    <row r="148" spans="1:8" x14ac:dyDescent="0.3">
      <c r="A148" s="45">
        <v>1</v>
      </c>
      <c r="B148" s="13">
        <v>1</v>
      </c>
      <c r="C148" s="13">
        <v>1</v>
      </c>
      <c r="D148" s="13">
        <v>0</v>
      </c>
      <c r="E148" s="115"/>
      <c r="F148" s="46">
        <v>0</v>
      </c>
      <c r="H148" s="61" t="str">
        <f t="shared" si="10"/>
        <v>TUBERIAS</v>
      </c>
    </row>
    <row r="149" spans="1:8" ht="15" thickBot="1" x14ac:dyDescent="0.35">
      <c r="A149" s="47">
        <v>1</v>
      </c>
      <c r="B149" s="48">
        <v>1</v>
      </c>
      <c r="C149" s="48">
        <v>1</v>
      </c>
      <c r="D149" s="48">
        <v>1</v>
      </c>
      <c r="E149" s="119"/>
      <c r="F149" s="49">
        <v>3</v>
      </c>
      <c r="H149" s="61" t="str">
        <f t="shared" si="10"/>
        <v>NO HACER NADA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0"/>
  <sheetViews>
    <sheetView workbookViewId="0">
      <selection activeCell="M2" sqref="M2:M9"/>
    </sheetView>
  </sheetViews>
  <sheetFormatPr baseColWidth="10" defaultRowHeight="14.4" x14ac:dyDescent="0.3"/>
  <cols>
    <col min="1" max="1" width="22.88671875" customWidth="1"/>
    <col min="2" max="7" width="3.6640625" customWidth="1"/>
    <col min="12" max="12" width="13.6640625" customWidth="1"/>
  </cols>
  <sheetData>
    <row r="1" spans="1:13" ht="89.4" x14ac:dyDescent="0.3">
      <c r="B1" s="140" t="s">
        <v>264</v>
      </c>
      <c r="C1" s="140" t="s">
        <v>265</v>
      </c>
      <c r="D1" s="140" t="s">
        <v>266</v>
      </c>
      <c r="E1" s="140" t="s">
        <v>267</v>
      </c>
      <c r="F1" s="140" t="s">
        <v>268</v>
      </c>
      <c r="G1" s="140" t="s">
        <v>271</v>
      </c>
      <c r="H1" s="140" t="s">
        <v>272</v>
      </c>
      <c r="I1" s="140" t="s">
        <v>273</v>
      </c>
      <c r="J1" s="140" t="s">
        <v>274</v>
      </c>
      <c r="K1" s="140" t="s">
        <v>275</v>
      </c>
    </row>
    <row r="2" spans="1:13" x14ac:dyDescent="0.3">
      <c r="A2" t="s">
        <v>258</v>
      </c>
      <c r="B2" s="86">
        <v>7</v>
      </c>
      <c r="C2" s="86" t="s">
        <v>219</v>
      </c>
      <c r="D2" s="86" t="s">
        <v>270</v>
      </c>
      <c r="E2" s="86" t="s">
        <v>219</v>
      </c>
      <c r="F2" s="86" t="s">
        <v>270</v>
      </c>
      <c r="G2" s="86">
        <v>10</v>
      </c>
      <c r="H2" s="86">
        <v>12000</v>
      </c>
      <c r="I2" s="85">
        <f>H2/B2</f>
        <v>1714.2857142857142</v>
      </c>
      <c r="J2" s="86" t="str">
        <f>IF(AND(OR(C2="SÍ",D2="SÍ"),I2&gt;2000),"SÍ","NO")</f>
        <v>NO</v>
      </c>
      <c r="K2" s="86" t="str">
        <f>IF((B2*2&gt;=G2),"GOMA","CARTON")</f>
        <v>GOMA</v>
      </c>
      <c r="L2" t="str">
        <f>IF(QUOTIENT(B2,G2)&gt;COUNTIF(C2:F2,"SÍ"),"ENORABUENA","MALA")</f>
        <v>MALA</v>
      </c>
      <c r="M2" t="str">
        <f>IF(ABS(B2-G2)&gt;10,"PASAN","NO PASAN")</f>
        <v>NO PASAN</v>
      </c>
    </row>
    <row r="3" spans="1:13" x14ac:dyDescent="0.3">
      <c r="A3" t="s">
        <v>259</v>
      </c>
      <c r="B3" s="86">
        <v>12</v>
      </c>
      <c r="C3" s="86" t="s">
        <v>270</v>
      </c>
      <c r="D3" s="86" t="s">
        <v>219</v>
      </c>
      <c r="E3" s="86" t="s">
        <v>219</v>
      </c>
      <c r="F3" s="86" t="s">
        <v>219</v>
      </c>
      <c r="G3" s="86">
        <v>3</v>
      </c>
      <c r="H3" s="86">
        <v>7000</v>
      </c>
      <c r="I3" s="85">
        <f t="shared" ref="I3:I7" si="0">H3/B3</f>
        <v>583.33333333333337</v>
      </c>
      <c r="J3" s="86" t="str">
        <f t="shared" ref="J3:J8" si="1">IF(AND(OR(C3="SÍ",D3="SÍ"),I3&gt;2000),"SÍ","NO")</f>
        <v>NO</v>
      </c>
      <c r="K3" s="86" t="str">
        <f t="shared" ref="K3:K9" si="2">IF((B3*2&gt;=G3),"GOMA","CARTON")</f>
        <v>GOMA</v>
      </c>
      <c r="L3" t="str">
        <f t="shared" ref="L3:L9" si="3">IF(QUOTIENT(B3,G3)&gt;COUNTIF(C3:F3,"SÍ"),"ENORABUENA","MALA")</f>
        <v>ENORABUENA</v>
      </c>
      <c r="M3" t="str">
        <f t="shared" ref="M3:M9" si="4">IF(ABS(B3-G3)&gt;10,"PASAN","NO PASAN")</f>
        <v>NO PASAN</v>
      </c>
    </row>
    <row r="4" spans="1:13" x14ac:dyDescent="0.3">
      <c r="A4" t="s">
        <v>260</v>
      </c>
      <c r="B4" s="86">
        <v>2</v>
      </c>
      <c r="C4" s="86" t="s">
        <v>219</v>
      </c>
      <c r="D4" s="86" t="s">
        <v>219</v>
      </c>
      <c r="E4" s="86" t="s">
        <v>270</v>
      </c>
      <c r="F4" s="86" t="s">
        <v>270</v>
      </c>
      <c r="G4" s="86">
        <v>20</v>
      </c>
      <c r="H4" s="86">
        <v>40000</v>
      </c>
      <c r="I4" s="85">
        <f t="shared" si="0"/>
        <v>20000</v>
      </c>
      <c r="J4" s="86" t="str">
        <f t="shared" si="1"/>
        <v>SÍ</v>
      </c>
      <c r="K4" s="86" t="str">
        <f t="shared" si="2"/>
        <v>CARTON</v>
      </c>
      <c r="L4" t="str">
        <f t="shared" si="3"/>
        <v>MALA</v>
      </c>
      <c r="M4" t="str">
        <f t="shared" si="4"/>
        <v>PASAN</v>
      </c>
    </row>
    <row r="5" spans="1:13" x14ac:dyDescent="0.3">
      <c r="A5" t="s">
        <v>261</v>
      </c>
      <c r="B5" s="86">
        <v>20</v>
      </c>
      <c r="C5" s="86" t="s">
        <v>219</v>
      </c>
      <c r="D5" s="86" t="s">
        <v>270</v>
      </c>
      <c r="E5" s="86" t="s">
        <v>270</v>
      </c>
      <c r="F5" s="86" t="s">
        <v>219</v>
      </c>
      <c r="G5" s="86">
        <v>12</v>
      </c>
      <c r="H5" s="86">
        <v>80000</v>
      </c>
      <c r="I5" s="85">
        <f t="shared" si="0"/>
        <v>4000</v>
      </c>
      <c r="J5" s="86" t="str">
        <f t="shared" si="1"/>
        <v>SÍ</v>
      </c>
      <c r="K5" s="86" t="str">
        <f t="shared" si="2"/>
        <v>GOMA</v>
      </c>
      <c r="L5" t="str">
        <f t="shared" si="3"/>
        <v>MALA</v>
      </c>
      <c r="M5" t="str">
        <f t="shared" si="4"/>
        <v>NO PASAN</v>
      </c>
    </row>
    <row r="6" spans="1:13" x14ac:dyDescent="0.3">
      <c r="A6" t="s">
        <v>262</v>
      </c>
      <c r="B6" s="86">
        <v>10</v>
      </c>
      <c r="C6" s="86" t="s">
        <v>270</v>
      </c>
      <c r="D6" s="86" t="s">
        <v>270</v>
      </c>
      <c r="E6" s="86" t="s">
        <v>270</v>
      </c>
      <c r="F6" s="86" t="s">
        <v>270</v>
      </c>
      <c r="G6" s="86">
        <v>35</v>
      </c>
      <c r="H6" s="86">
        <v>37000</v>
      </c>
      <c r="I6" s="85">
        <f t="shared" si="0"/>
        <v>3700</v>
      </c>
      <c r="J6" s="86" t="str">
        <f t="shared" si="1"/>
        <v>NO</v>
      </c>
      <c r="K6" s="86" t="str">
        <f t="shared" si="2"/>
        <v>CARTON</v>
      </c>
      <c r="L6" t="str">
        <f t="shared" si="3"/>
        <v>MALA</v>
      </c>
      <c r="M6" t="str">
        <f t="shared" si="4"/>
        <v>PASAN</v>
      </c>
    </row>
    <row r="7" spans="1:13" x14ac:dyDescent="0.3">
      <c r="A7" t="s">
        <v>263</v>
      </c>
      <c r="B7" s="86">
        <v>8</v>
      </c>
      <c r="C7" s="86" t="s">
        <v>219</v>
      </c>
      <c r="D7" s="86" t="s">
        <v>219</v>
      </c>
      <c r="E7" s="86" t="s">
        <v>270</v>
      </c>
      <c r="F7" s="86" t="s">
        <v>219</v>
      </c>
      <c r="G7" s="86">
        <v>24</v>
      </c>
      <c r="H7" s="86">
        <v>20000</v>
      </c>
      <c r="I7" s="85">
        <f t="shared" si="0"/>
        <v>2500</v>
      </c>
      <c r="J7" s="86" t="str">
        <f t="shared" si="1"/>
        <v>SÍ</v>
      </c>
      <c r="K7" s="86" t="str">
        <f t="shared" si="2"/>
        <v>CARTON</v>
      </c>
      <c r="L7" t="str">
        <f t="shared" si="3"/>
        <v>MALA</v>
      </c>
      <c r="M7" t="str">
        <f t="shared" si="4"/>
        <v>PASAN</v>
      </c>
    </row>
    <row r="8" spans="1:13" x14ac:dyDescent="0.3">
      <c r="A8" t="s">
        <v>269</v>
      </c>
      <c r="B8" s="86">
        <v>4</v>
      </c>
      <c r="C8" s="86" t="s">
        <v>270</v>
      </c>
      <c r="D8" s="86" t="s">
        <v>219</v>
      </c>
      <c r="E8" s="86" t="s">
        <v>270</v>
      </c>
      <c r="F8" s="86" t="s">
        <v>270</v>
      </c>
      <c r="G8" s="86">
        <v>1</v>
      </c>
      <c r="H8" s="86">
        <v>150</v>
      </c>
      <c r="I8" s="85">
        <v>38</v>
      </c>
      <c r="J8" s="86" t="str">
        <f t="shared" si="1"/>
        <v>NO</v>
      </c>
      <c r="K8" s="86" t="str">
        <f t="shared" si="2"/>
        <v>GOMA</v>
      </c>
      <c r="L8" t="str">
        <f t="shared" si="3"/>
        <v>ENORABUENA</v>
      </c>
      <c r="M8" t="str">
        <f t="shared" si="4"/>
        <v>NO PASAN</v>
      </c>
    </row>
    <row r="9" spans="1:13" x14ac:dyDescent="0.3">
      <c r="A9" t="s">
        <v>276</v>
      </c>
      <c r="B9" s="86">
        <v>7</v>
      </c>
      <c r="C9" s="86" t="s">
        <v>219</v>
      </c>
      <c r="D9" s="86" t="s">
        <v>270</v>
      </c>
      <c r="E9" s="86" t="s">
        <v>270</v>
      </c>
      <c r="F9" s="86" t="s">
        <v>219</v>
      </c>
      <c r="G9" s="86">
        <v>12</v>
      </c>
      <c r="K9" s="86" t="str">
        <f t="shared" si="2"/>
        <v>GOMA</v>
      </c>
      <c r="L9" t="str">
        <f t="shared" si="3"/>
        <v>MALA</v>
      </c>
      <c r="M9" t="str">
        <f t="shared" si="4"/>
        <v>NO PASAN</v>
      </c>
    </row>
    <row r="10" spans="1:13" x14ac:dyDescent="0.3">
      <c r="C10" t="str">
        <f>IF(COUNTIF(C2:C9,"SÍ")&gt;COUNTIF(C2:C9,"NO"),"SÍ",IF(COUNTIF(C2:C9,"SÍ")&lt;COUNTIF(C2:C9,"NO"),"NO",""))</f>
        <v>SÍ</v>
      </c>
      <c r="D10" t="str">
        <f t="shared" ref="D10:F10" si="5">IF(COUNTIF(D2:D9,"SÍ")&gt;COUNTIF(D2:D9,"NO"),"SÍ",IF(COUNTIF(D2:D9,"SÍ")&lt;COUNTIF(D2:D9,"NO"),"NO",""))</f>
        <v/>
      </c>
      <c r="E10" t="str">
        <f t="shared" si="5"/>
        <v>NO</v>
      </c>
      <c r="F10" t="str">
        <f t="shared" si="5"/>
        <v/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70C0"/>
  </sheetPr>
  <dimension ref="A1:D19"/>
  <sheetViews>
    <sheetView workbookViewId="0">
      <selection activeCell="G13" sqref="G13"/>
    </sheetView>
  </sheetViews>
  <sheetFormatPr baseColWidth="10" defaultRowHeight="14.4" x14ac:dyDescent="0.3"/>
  <cols>
    <col min="2" max="2" width="29.5546875" customWidth="1"/>
    <col min="3" max="3" width="10.6640625" customWidth="1"/>
  </cols>
  <sheetData>
    <row r="1" spans="1:4" x14ac:dyDescent="0.3">
      <c r="A1" s="23" t="s">
        <v>277</v>
      </c>
      <c r="B1" s="142" t="s">
        <v>278</v>
      </c>
      <c r="C1" s="23" t="s">
        <v>289</v>
      </c>
      <c r="D1" s="23" t="s">
        <v>279</v>
      </c>
    </row>
    <row r="2" spans="1:4" x14ac:dyDescent="0.3">
      <c r="A2" s="23">
        <v>3</v>
      </c>
      <c r="B2" s="23" t="s">
        <v>280</v>
      </c>
      <c r="C2" s="23">
        <v>175</v>
      </c>
      <c r="D2" s="143">
        <f>A2*C2</f>
        <v>525</v>
      </c>
    </row>
    <row r="3" spans="1:4" x14ac:dyDescent="0.3">
      <c r="A3" s="23">
        <v>40</v>
      </c>
      <c r="B3" s="23" t="s">
        <v>281</v>
      </c>
      <c r="C3" s="23">
        <v>3.95</v>
      </c>
      <c r="D3" s="143">
        <f t="shared" ref="D3:D10" si="0">A3*C3</f>
        <v>158</v>
      </c>
    </row>
    <row r="4" spans="1:4" x14ac:dyDescent="0.3">
      <c r="A4" s="23">
        <v>2</v>
      </c>
      <c r="B4" s="23" t="s">
        <v>282</v>
      </c>
      <c r="C4" s="23">
        <v>450</v>
      </c>
      <c r="D4" s="143">
        <f t="shared" si="0"/>
        <v>900</v>
      </c>
    </row>
    <row r="5" spans="1:4" x14ac:dyDescent="0.3">
      <c r="A5" s="23">
        <v>18</v>
      </c>
      <c r="B5" s="23" t="s">
        <v>283</v>
      </c>
      <c r="C5" s="23">
        <v>1.82</v>
      </c>
      <c r="D5" s="143">
        <f t="shared" si="0"/>
        <v>32.76</v>
      </c>
    </row>
    <row r="6" spans="1:4" x14ac:dyDescent="0.3">
      <c r="A6" s="23">
        <v>2</v>
      </c>
      <c r="B6" s="23" t="s">
        <v>284</v>
      </c>
      <c r="C6" s="23">
        <v>325</v>
      </c>
      <c r="D6" s="143">
        <f t="shared" si="0"/>
        <v>650</v>
      </c>
    </row>
    <row r="7" spans="1:4" x14ac:dyDescent="0.3">
      <c r="A7" s="23">
        <v>1</v>
      </c>
      <c r="B7" s="23" t="s">
        <v>285</v>
      </c>
      <c r="C7" s="23">
        <v>114</v>
      </c>
      <c r="D7" s="143">
        <f t="shared" si="0"/>
        <v>114</v>
      </c>
    </row>
    <row r="8" spans="1:4" x14ac:dyDescent="0.3">
      <c r="A8" s="23">
        <v>22</v>
      </c>
      <c r="B8" s="23" t="s">
        <v>286</v>
      </c>
      <c r="C8" s="23">
        <v>75</v>
      </c>
      <c r="D8" s="143">
        <f t="shared" si="0"/>
        <v>1650</v>
      </c>
    </row>
    <row r="9" spans="1:4" x14ac:dyDescent="0.3">
      <c r="A9" s="23">
        <v>3</v>
      </c>
      <c r="B9" s="23" t="s">
        <v>287</v>
      </c>
      <c r="C9" s="23">
        <v>54</v>
      </c>
      <c r="D9" s="143">
        <f t="shared" si="0"/>
        <v>162</v>
      </c>
    </row>
    <row r="10" spans="1:4" x14ac:dyDescent="0.3">
      <c r="A10" s="23">
        <v>50</v>
      </c>
      <c r="B10" s="23" t="s">
        <v>288</v>
      </c>
      <c r="C10" s="23">
        <v>9.9499999999999993</v>
      </c>
      <c r="D10" s="143">
        <f t="shared" si="0"/>
        <v>497.49999999999994</v>
      </c>
    </row>
    <row r="11" spans="1:4" x14ac:dyDescent="0.3">
      <c r="A11" s="23"/>
      <c r="B11" s="23"/>
      <c r="C11" s="23"/>
      <c r="D11" s="23"/>
    </row>
    <row r="12" spans="1:4" x14ac:dyDescent="0.3">
      <c r="A12" s="23"/>
      <c r="B12" s="144" t="s">
        <v>290</v>
      </c>
      <c r="C12" s="23"/>
      <c r="D12" s="143">
        <f>SUM(D2:D10)</f>
        <v>4689.26</v>
      </c>
    </row>
    <row r="13" spans="1:4" x14ac:dyDescent="0.3">
      <c r="A13" s="23"/>
      <c r="B13" s="144" t="s">
        <v>291</v>
      </c>
      <c r="C13" s="23"/>
      <c r="D13" s="23">
        <f>IF(D12&gt;=3000,D12*5%,IF(D12&gt;=2000,D12*2%,IF(D12&gt;=1000,D12*1%,0)))</f>
        <v>234.46300000000002</v>
      </c>
    </row>
    <row r="14" spans="1:4" x14ac:dyDescent="0.3">
      <c r="A14" s="23"/>
      <c r="B14" s="144" t="s">
        <v>292</v>
      </c>
      <c r="C14" s="23"/>
      <c r="D14" s="145">
        <f>(D12-D13)*21%</f>
        <v>935.50737000000004</v>
      </c>
    </row>
    <row r="15" spans="1:4" x14ac:dyDescent="0.3">
      <c r="A15" s="23"/>
      <c r="B15" s="144" t="s">
        <v>293</v>
      </c>
      <c r="C15" s="23"/>
      <c r="D15" s="143">
        <f>D12-D13+D14</f>
        <v>5390.3043700000007</v>
      </c>
    </row>
    <row r="16" spans="1:4" x14ac:dyDescent="0.3">
      <c r="A16" s="23"/>
      <c r="B16" s="23"/>
      <c r="C16" s="23"/>
      <c r="D16" s="23"/>
    </row>
    <row r="17" spans="1:4" x14ac:dyDescent="0.3">
      <c r="A17" s="23"/>
      <c r="B17" s="23"/>
      <c r="C17" s="23"/>
      <c r="D17" s="23"/>
    </row>
    <row r="18" spans="1:4" x14ac:dyDescent="0.3">
      <c r="A18" s="23"/>
      <c r="B18" s="144" t="s">
        <v>294</v>
      </c>
      <c r="C18" s="23"/>
      <c r="D18" s="23"/>
    </row>
    <row r="19" spans="1:4" x14ac:dyDescent="0.3">
      <c r="A19" s="23"/>
      <c r="B19" s="144" t="s">
        <v>295</v>
      </c>
      <c r="C19" s="23"/>
      <c r="D19" s="23"/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5"/>
  <sheetViews>
    <sheetView workbookViewId="0">
      <selection activeCell="F9" sqref="F9"/>
    </sheetView>
  </sheetViews>
  <sheetFormatPr baseColWidth="10" defaultRowHeight="14.4" x14ac:dyDescent="0.3"/>
  <cols>
    <col min="2" max="2" width="30" customWidth="1"/>
    <col min="4" max="4" width="7.33203125" customWidth="1"/>
    <col min="6" max="6" width="14.33203125" customWidth="1"/>
  </cols>
  <sheetData>
    <row r="1" spans="1:7" x14ac:dyDescent="0.3">
      <c r="A1" s="23" t="s">
        <v>296</v>
      </c>
      <c r="B1" s="23" t="s">
        <v>297</v>
      </c>
      <c r="C1" s="23" t="s">
        <v>298</v>
      </c>
      <c r="D1" s="23" t="s">
        <v>329</v>
      </c>
      <c r="E1" s="23" t="s">
        <v>299</v>
      </c>
      <c r="F1" s="23" t="s">
        <v>300</v>
      </c>
      <c r="G1" s="153" t="s">
        <v>345</v>
      </c>
    </row>
    <row r="2" spans="1:7" x14ac:dyDescent="0.3">
      <c r="A2" s="23" t="s">
        <v>315</v>
      </c>
      <c r="B2" s="23" t="s">
        <v>301</v>
      </c>
      <c r="C2" s="145">
        <v>2.54</v>
      </c>
      <c r="D2" s="23" t="s">
        <v>219</v>
      </c>
      <c r="E2" s="23" t="s">
        <v>330</v>
      </c>
      <c r="F2" s="23" t="s">
        <v>339</v>
      </c>
    </row>
    <row r="3" spans="1:7" x14ac:dyDescent="0.3">
      <c r="A3" s="23" t="s">
        <v>317</v>
      </c>
      <c r="B3" s="23" t="s">
        <v>302</v>
      </c>
      <c r="C3" s="145">
        <v>3.21</v>
      </c>
      <c r="D3" s="23" t="s">
        <v>270</v>
      </c>
      <c r="E3" s="23" t="s">
        <v>331</v>
      </c>
      <c r="F3" s="23" t="s">
        <v>339</v>
      </c>
    </row>
    <row r="4" spans="1:7" x14ac:dyDescent="0.3">
      <c r="A4" s="23" t="s">
        <v>316</v>
      </c>
      <c r="B4" s="23" t="s">
        <v>303</v>
      </c>
      <c r="C4" s="145">
        <v>1.57</v>
      </c>
      <c r="D4" s="23" t="s">
        <v>219</v>
      </c>
      <c r="E4" s="23" t="s">
        <v>330</v>
      </c>
      <c r="F4" s="23" t="s">
        <v>339</v>
      </c>
    </row>
    <row r="5" spans="1:7" x14ac:dyDescent="0.3">
      <c r="A5" s="23" t="s">
        <v>318</v>
      </c>
      <c r="B5" s="23" t="s">
        <v>304</v>
      </c>
      <c r="C5" s="145">
        <v>2</v>
      </c>
      <c r="D5" s="23" t="s">
        <v>219</v>
      </c>
      <c r="E5" s="23" t="s">
        <v>330</v>
      </c>
      <c r="F5" s="23" t="s">
        <v>340</v>
      </c>
    </row>
    <row r="6" spans="1:7" x14ac:dyDescent="0.3">
      <c r="A6" s="23" t="s">
        <v>319</v>
      </c>
      <c r="B6" s="23" t="s">
        <v>305</v>
      </c>
      <c r="C6" s="145">
        <v>1.5</v>
      </c>
      <c r="D6" s="23" t="s">
        <v>270</v>
      </c>
      <c r="E6" s="23" t="s">
        <v>332</v>
      </c>
      <c r="F6" s="23" t="s">
        <v>340</v>
      </c>
    </row>
    <row r="7" spans="1:7" x14ac:dyDescent="0.3">
      <c r="A7" s="23" t="s">
        <v>320</v>
      </c>
      <c r="B7" s="23" t="s">
        <v>306</v>
      </c>
      <c r="C7" s="145">
        <v>3.23</v>
      </c>
      <c r="D7" s="23" t="s">
        <v>270</v>
      </c>
      <c r="E7" s="23" t="s">
        <v>333</v>
      </c>
      <c r="F7" s="23" t="s">
        <v>341</v>
      </c>
    </row>
    <row r="8" spans="1:7" x14ac:dyDescent="0.3">
      <c r="A8" s="23" t="s">
        <v>321</v>
      </c>
      <c r="B8" s="23" t="s">
        <v>307</v>
      </c>
      <c r="C8" s="145">
        <v>258</v>
      </c>
      <c r="D8" s="23" t="s">
        <v>219</v>
      </c>
      <c r="E8" s="23" t="s">
        <v>334</v>
      </c>
      <c r="F8" s="23" t="s">
        <v>341</v>
      </c>
    </row>
    <row r="9" spans="1:7" x14ac:dyDescent="0.3">
      <c r="A9" s="23" t="s">
        <v>322</v>
      </c>
      <c r="B9" s="23" t="s">
        <v>308</v>
      </c>
      <c r="C9" s="145">
        <v>23</v>
      </c>
      <c r="D9" s="23" t="s">
        <v>219</v>
      </c>
      <c r="E9" s="23" t="s">
        <v>332</v>
      </c>
      <c r="F9" s="23" t="s">
        <v>341</v>
      </c>
    </row>
    <row r="10" spans="1:7" x14ac:dyDescent="0.3">
      <c r="A10" s="23" t="s">
        <v>323</v>
      </c>
      <c r="B10" s="23" t="s">
        <v>309</v>
      </c>
      <c r="C10" s="145">
        <v>2.2400000000000002</v>
      </c>
      <c r="D10" s="23" t="s">
        <v>270</v>
      </c>
      <c r="E10" s="23" t="s">
        <v>335</v>
      </c>
      <c r="F10" s="23" t="s">
        <v>341</v>
      </c>
    </row>
    <row r="11" spans="1:7" x14ac:dyDescent="0.3">
      <c r="A11" s="23" t="s">
        <v>324</v>
      </c>
      <c r="B11" s="23" t="s">
        <v>310</v>
      </c>
      <c r="C11" s="145">
        <v>12.67</v>
      </c>
      <c r="D11" s="23" t="s">
        <v>270</v>
      </c>
      <c r="E11" s="23" t="s">
        <v>336</v>
      </c>
      <c r="F11" s="23" t="s">
        <v>342</v>
      </c>
    </row>
    <row r="12" spans="1:7" x14ac:dyDescent="0.3">
      <c r="A12" s="23" t="s">
        <v>325</v>
      </c>
      <c r="B12" s="23" t="s">
        <v>311</v>
      </c>
      <c r="C12" s="145">
        <v>8</v>
      </c>
      <c r="D12" s="23" t="s">
        <v>219</v>
      </c>
      <c r="E12" s="23" t="s">
        <v>337</v>
      </c>
      <c r="F12" s="23" t="s">
        <v>339</v>
      </c>
    </row>
    <row r="13" spans="1:7" x14ac:dyDescent="0.3">
      <c r="A13" s="23" t="s">
        <v>326</v>
      </c>
      <c r="B13" s="23" t="s">
        <v>312</v>
      </c>
      <c r="C13" s="145">
        <v>1.5</v>
      </c>
      <c r="D13" s="23" t="s">
        <v>270</v>
      </c>
      <c r="E13" s="23" t="s">
        <v>330</v>
      </c>
      <c r="F13" s="23" t="s">
        <v>343</v>
      </c>
    </row>
    <row r="14" spans="1:7" x14ac:dyDescent="0.3">
      <c r="A14" s="23" t="s">
        <v>327</v>
      </c>
      <c r="B14" s="23" t="s">
        <v>313</v>
      </c>
      <c r="C14" s="145">
        <v>18.8</v>
      </c>
      <c r="D14" s="23" t="s">
        <v>219</v>
      </c>
      <c r="E14" s="23" t="s">
        <v>338</v>
      </c>
      <c r="F14" s="23" t="s">
        <v>339</v>
      </c>
    </row>
    <row r="15" spans="1:7" x14ac:dyDescent="0.3">
      <c r="A15" s="23" t="s">
        <v>328</v>
      </c>
      <c r="B15" s="23" t="s">
        <v>314</v>
      </c>
      <c r="C15" s="145">
        <v>62.5</v>
      </c>
      <c r="D15" s="23" t="s">
        <v>219</v>
      </c>
      <c r="E15" s="23" t="s">
        <v>330</v>
      </c>
      <c r="F15" s="23" t="s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9"/>
  <sheetViews>
    <sheetView workbookViewId="0">
      <selection activeCell="E2" sqref="E2"/>
    </sheetView>
  </sheetViews>
  <sheetFormatPr baseColWidth="10" defaultRowHeight="14.4" x14ac:dyDescent="0.3"/>
  <cols>
    <col min="1" max="1" width="2.6640625" customWidth="1"/>
    <col min="4" max="4" width="15.33203125" customWidth="1"/>
  </cols>
  <sheetData>
    <row r="1" spans="1:15" ht="15" thickBot="1" x14ac:dyDescent="0.35">
      <c r="A1" s="147"/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</row>
    <row r="2" spans="1:15" ht="15" thickBot="1" x14ac:dyDescent="0.35">
      <c r="A2" s="147"/>
      <c r="B2" s="149" t="s">
        <v>296</v>
      </c>
      <c r="C2" s="146"/>
      <c r="D2" s="152" t="s">
        <v>321</v>
      </c>
      <c r="E2" s="147"/>
    </row>
    <row r="3" spans="1:15" ht="15" thickBot="1" x14ac:dyDescent="0.35">
      <c r="A3" s="147"/>
      <c r="B3" s="146"/>
      <c r="C3" s="146"/>
      <c r="D3" s="148"/>
      <c r="E3" s="147"/>
    </row>
    <row r="4" spans="1:15" ht="15" thickBot="1" x14ac:dyDescent="0.35">
      <c r="A4" s="147"/>
      <c r="B4" s="149" t="s">
        <v>297</v>
      </c>
      <c r="C4" s="146"/>
      <c r="D4" s="150" t="str">
        <f>IFERROR(VLOOKUP(D2,ALMACEN!A2:F15,2,FALSE),"")</f>
        <v>MOTOSIERRAS</v>
      </c>
      <c r="E4" s="147"/>
      <c r="G4" s="147"/>
      <c r="I4" s="147"/>
      <c r="K4" s="147"/>
      <c r="M4" s="147"/>
      <c r="O4" s="147"/>
    </row>
    <row r="5" spans="1:15" ht="15" thickBot="1" x14ac:dyDescent="0.35">
      <c r="A5" s="147"/>
      <c r="B5" s="146"/>
      <c r="C5" s="146"/>
      <c r="D5" s="148"/>
      <c r="E5" s="147"/>
    </row>
    <row r="6" spans="1:15" ht="15" thickBot="1" x14ac:dyDescent="0.35">
      <c r="A6" s="147"/>
      <c r="B6" s="149" t="s">
        <v>329</v>
      </c>
      <c r="C6" s="146"/>
      <c r="D6" s="150" t="str">
        <f>IFERROR(VLOOKUP(D2,ALMACEN!A2:F15,4,FALSE),"")</f>
        <v>SÍ</v>
      </c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</row>
    <row r="7" spans="1:15" ht="15" thickBot="1" x14ac:dyDescent="0.35">
      <c r="A7" s="147"/>
      <c r="B7" s="146"/>
      <c r="C7" s="146"/>
      <c r="D7" s="148"/>
      <c r="E7" s="147"/>
    </row>
    <row r="8" spans="1:15" ht="15" thickBot="1" x14ac:dyDescent="0.35">
      <c r="A8" s="147"/>
      <c r="B8" s="149" t="s">
        <v>298</v>
      </c>
      <c r="C8" s="146"/>
      <c r="D8" s="151">
        <f>IFERROR(VLOOKUP(D2,ALMACEN!A2:F15,3,FALSE),"")</f>
        <v>258</v>
      </c>
      <c r="E8" s="147"/>
    </row>
    <row r="9" spans="1:15" ht="15" thickBot="1" x14ac:dyDescent="0.35">
      <c r="A9" s="147"/>
      <c r="B9" s="146"/>
      <c r="C9" s="146"/>
      <c r="D9" s="148"/>
      <c r="E9" s="147"/>
      <c r="G9" s="147"/>
      <c r="I9" s="147"/>
      <c r="K9" s="147"/>
      <c r="M9" s="147"/>
      <c r="O9" s="147"/>
    </row>
    <row r="10" spans="1:15" ht="15" thickBot="1" x14ac:dyDescent="0.35">
      <c r="A10" s="147"/>
      <c r="B10" s="149" t="s">
        <v>299</v>
      </c>
      <c r="C10" s="146"/>
      <c r="D10" s="150" t="str">
        <f>IFERROR(VLOOKUP(D2,ALMACEN!A2:F15,5,FALSE),"")</f>
        <v>TEXAS</v>
      </c>
      <c r="E10" s="147"/>
    </row>
    <row r="11" spans="1:15" ht="15" thickBot="1" x14ac:dyDescent="0.35">
      <c r="A11" s="147"/>
      <c r="B11" s="146"/>
      <c r="C11" s="146"/>
      <c r="D11" s="148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7"/>
    </row>
    <row r="12" spans="1:15" ht="15" thickBot="1" x14ac:dyDescent="0.35">
      <c r="A12" s="147"/>
      <c r="B12" s="149" t="s">
        <v>300</v>
      </c>
      <c r="C12" s="146"/>
      <c r="D12" s="150" t="str">
        <f>IFERROR(VLOOKUP(D2,ALMACEN!A2:F15,6,FALSE),"")</f>
        <v>CARPINTERIA</v>
      </c>
      <c r="E12" s="147"/>
    </row>
    <row r="13" spans="1:15" x14ac:dyDescent="0.3">
      <c r="A13" s="147"/>
      <c r="B13" s="147"/>
      <c r="C13" s="146"/>
      <c r="D13" s="147"/>
      <c r="E13" s="147"/>
      <c r="G13" s="147"/>
      <c r="I13" s="147"/>
      <c r="K13" s="147"/>
      <c r="M13" s="147"/>
      <c r="O13" s="147"/>
    </row>
    <row r="14" spans="1:15" x14ac:dyDescent="0.3">
      <c r="A14" s="147"/>
      <c r="B14" s="147"/>
      <c r="C14" s="146"/>
      <c r="D14" s="147"/>
      <c r="E14" s="147"/>
    </row>
    <row r="15" spans="1:15" x14ac:dyDescent="0.3">
      <c r="A15" s="147"/>
      <c r="B15" s="14" t="s">
        <v>345</v>
      </c>
      <c r="C15" s="146"/>
      <c r="D15" s="9">
        <v>2</v>
      </c>
      <c r="E15" s="147"/>
    </row>
    <row r="16" spans="1:15" x14ac:dyDescent="0.3">
      <c r="A16" s="147"/>
      <c r="B16" s="147"/>
      <c r="C16" s="146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7"/>
      <c r="O16" s="147"/>
    </row>
    <row r="17" spans="1:15" x14ac:dyDescent="0.3">
      <c r="A17" s="147"/>
      <c r="B17" s="147"/>
      <c r="C17" s="146"/>
      <c r="D17" s="147"/>
      <c r="E17" s="147"/>
    </row>
    <row r="18" spans="1:15" x14ac:dyDescent="0.3">
      <c r="A18" s="147"/>
      <c r="B18" s="14" t="s">
        <v>298</v>
      </c>
      <c r="C18" s="146"/>
      <c r="D18" s="154">
        <f>IFERROR(1.21*D8*D15,"")</f>
        <v>624.36</v>
      </c>
      <c r="E18" s="147"/>
      <c r="G18" s="147"/>
      <c r="I18" s="147"/>
      <c r="K18" s="147"/>
      <c r="M18" s="147"/>
      <c r="O18" s="147"/>
    </row>
    <row r="19" spans="1:15" x14ac:dyDescent="0.3">
      <c r="A19" s="147"/>
      <c r="B19" s="147"/>
      <c r="C19" s="147"/>
      <c r="D19" s="147"/>
      <c r="E19" s="147"/>
    </row>
  </sheetData>
  <conditionalFormatting sqref="D6">
    <cfRule type="containsText" dxfId="8" priority="3" operator="containsText" text="NO">
      <formula>NOT(ISERROR(SEARCH("NO",D6)))</formula>
    </cfRule>
    <cfRule type="containsText" dxfId="7" priority="4" operator="containsText" text="SÍ">
      <formula>NOT(ISERROR(SEARCH("SÍ",D6)))</formula>
    </cfRule>
  </conditionalFormatting>
  <conditionalFormatting sqref="D2">
    <cfRule type="containsBlanks" dxfId="6" priority="2">
      <formula>LEN(TRIM(D2))=0</formula>
    </cfRule>
  </conditionalFormatting>
  <conditionalFormatting sqref="D2 D4 D6 D8 D10 D12">
    <cfRule type="containsBlanks" dxfId="5" priority="1">
      <formula>LEN(TRIM(D2))=0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300-000000000000}">
          <x14:formula1>
            <xm:f>ALMACEN!$A$2:$A$197</xm:f>
          </x14:formula1>
          <xm:sqref>D2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0"/>
  <sheetViews>
    <sheetView workbookViewId="0">
      <selection activeCell="A11" sqref="A11"/>
    </sheetView>
  </sheetViews>
  <sheetFormatPr baseColWidth="10" defaultRowHeight="14.4" x14ac:dyDescent="0.3"/>
  <cols>
    <col min="1" max="1" width="34.109375" customWidth="1"/>
    <col min="2" max="2" width="11.44140625" style="86"/>
    <col min="3" max="3" width="21.109375" style="86" customWidth="1"/>
    <col min="4" max="4" width="11.44140625" style="86"/>
  </cols>
  <sheetData>
    <row r="1" spans="1:4" x14ac:dyDescent="0.3">
      <c r="A1" s="156" t="s">
        <v>346</v>
      </c>
      <c r="B1" s="157" t="s">
        <v>298</v>
      </c>
      <c r="C1" s="157" t="s">
        <v>347</v>
      </c>
      <c r="D1" s="157" t="s">
        <v>329</v>
      </c>
    </row>
    <row r="2" spans="1:4" x14ac:dyDescent="0.3">
      <c r="A2" t="s">
        <v>348</v>
      </c>
      <c r="B2" s="86">
        <v>40</v>
      </c>
      <c r="C2" s="86" t="s">
        <v>366</v>
      </c>
      <c r="D2" s="86">
        <v>19</v>
      </c>
    </row>
    <row r="3" spans="1:4" x14ac:dyDescent="0.3">
      <c r="A3" t="s">
        <v>349</v>
      </c>
      <c r="B3" s="86">
        <v>80</v>
      </c>
      <c r="C3" s="86" t="s">
        <v>367</v>
      </c>
      <c r="D3" s="86">
        <v>26</v>
      </c>
    </row>
    <row r="4" spans="1:4" x14ac:dyDescent="0.3">
      <c r="A4" t="s">
        <v>350</v>
      </c>
      <c r="B4" s="86">
        <v>150</v>
      </c>
      <c r="C4" s="86" t="s">
        <v>368</v>
      </c>
      <c r="D4" s="86">
        <v>13</v>
      </c>
    </row>
    <row r="5" spans="1:4" x14ac:dyDescent="0.3">
      <c r="A5" t="s">
        <v>351</v>
      </c>
      <c r="B5" s="86">
        <v>100</v>
      </c>
      <c r="C5" s="86" t="s">
        <v>369</v>
      </c>
      <c r="D5" s="86">
        <v>28</v>
      </c>
    </row>
    <row r="6" spans="1:4" x14ac:dyDescent="0.3">
      <c r="A6" t="s">
        <v>352</v>
      </c>
      <c r="B6" s="86">
        <v>85</v>
      </c>
      <c r="C6" s="86" t="s">
        <v>366</v>
      </c>
      <c r="D6" s="86">
        <v>5</v>
      </c>
    </row>
    <row r="7" spans="1:4" x14ac:dyDescent="0.3">
      <c r="A7" t="s">
        <v>353</v>
      </c>
      <c r="B7" s="86">
        <v>200</v>
      </c>
      <c r="C7" s="86" t="s">
        <v>370</v>
      </c>
      <c r="D7" s="86">
        <v>6</v>
      </c>
    </row>
    <row r="8" spans="1:4" x14ac:dyDescent="0.3">
      <c r="A8" t="s">
        <v>354</v>
      </c>
      <c r="B8" s="86">
        <v>80</v>
      </c>
      <c r="C8" s="86" t="s">
        <v>371</v>
      </c>
      <c r="D8" s="86">
        <v>7</v>
      </c>
    </row>
    <row r="9" spans="1:4" x14ac:dyDescent="0.3">
      <c r="A9" t="s">
        <v>355</v>
      </c>
      <c r="B9" s="86">
        <v>15</v>
      </c>
      <c r="C9" s="86" t="s">
        <v>372</v>
      </c>
      <c r="D9" s="86">
        <v>26</v>
      </c>
    </row>
    <row r="10" spans="1:4" x14ac:dyDescent="0.3">
      <c r="A10" t="s">
        <v>356</v>
      </c>
      <c r="B10" s="86">
        <v>20</v>
      </c>
      <c r="C10" s="86" t="s">
        <v>372</v>
      </c>
      <c r="D10" s="86">
        <v>24</v>
      </c>
    </row>
    <row r="11" spans="1:4" x14ac:dyDescent="0.3">
      <c r="A11" t="s">
        <v>357</v>
      </c>
      <c r="B11" s="86">
        <v>300</v>
      </c>
      <c r="C11" s="86" t="s">
        <v>373</v>
      </c>
      <c r="D11" s="86">
        <v>7</v>
      </c>
    </row>
    <row r="12" spans="1:4" x14ac:dyDescent="0.3">
      <c r="A12" t="s">
        <v>358</v>
      </c>
      <c r="B12" s="86">
        <v>250</v>
      </c>
      <c r="C12" s="86" t="s">
        <v>366</v>
      </c>
      <c r="D12" s="86">
        <v>13</v>
      </c>
    </row>
    <row r="13" spans="1:4" x14ac:dyDescent="0.3">
      <c r="A13" t="s">
        <v>359</v>
      </c>
      <c r="B13" s="86">
        <v>50</v>
      </c>
      <c r="C13" s="86" t="s">
        <v>374</v>
      </c>
      <c r="D13" s="86">
        <v>5</v>
      </c>
    </row>
    <row r="14" spans="1:4" x14ac:dyDescent="0.3">
      <c r="A14" t="s">
        <v>360</v>
      </c>
      <c r="B14" s="86">
        <v>2</v>
      </c>
      <c r="C14" s="86" t="s">
        <v>375</v>
      </c>
      <c r="D14" s="86">
        <v>17</v>
      </c>
    </row>
    <row r="15" spans="1:4" x14ac:dyDescent="0.3">
      <c r="A15" t="s">
        <v>361</v>
      </c>
      <c r="B15" s="86">
        <v>1500</v>
      </c>
      <c r="C15" s="86" t="s">
        <v>367</v>
      </c>
      <c r="D15" s="86">
        <v>25</v>
      </c>
    </row>
    <row r="16" spans="1:4" x14ac:dyDescent="0.3">
      <c r="A16" t="s">
        <v>362</v>
      </c>
      <c r="B16" s="86">
        <v>120</v>
      </c>
      <c r="C16" s="86" t="s">
        <v>376</v>
      </c>
      <c r="D16" s="86">
        <v>21</v>
      </c>
    </row>
    <row r="17" spans="1:4" x14ac:dyDescent="0.3">
      <c r="A17" t="s">
        <v>363</v>
      </c>
      <c r="B17" s="86">
        <v>60</v>
      </c>
      <c r="C17" s="86" t="s">
        <v>366</v>
      </c>
      <c r="D17" s="86">
        <v>22</v>
      </c>
    </row>
    <row r="18" spans="1:4" x14ac:dyDescent="0.3">
      <c r="A18" t="s">
        <v>364</v>
      </c>
      <c r="B18" s="86">
        <v>165</v>
      </c>
      <c r="C18" s="86" t="s">
        <v>373</v>
      </c>
      <c r="D18" s="86">
        <v>16</v>
      </c>
    </row>
    <row r="19" spans="1:4" x14ac:dyDescent="0.3">
      <c r="A19" t="s">
        <v>365</v>
      </c>
      <c r="B19" s="86">
        <v>65</v>
      </c>
      <c r="C19" s="86" t="s">
        <v>374</v>
      </c>
      <c r="D19" s="86">
        <v>25</v>
      </c>
    </row>
    <row r="20" spans="1:4" x14ac:dyDescent="0.3">
      <c r="A20" t="s">
        <v>410</v>
      </c>
      <c r="B20" s="86">
        <v>120</v>
      </c>
      <c r="C20" s="86" t="s">
        <v>376</v>
      </c>
      <c r="D20" s="86">
        <v>34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55"/>
  <sheetViews>
    <sheetView tabSelected="1" zoomScaleNormal="100" workbookViewId="0">
      <selection activeCell="C20" sqref="C20"/>
    </sheetView>
  </sheetViews>
  <sheetFormatPr baseColWidth="10" defaultRowHeight="14.4" x14ac:dyDescent="0.3"/>
  <cols>
    <col min="1" max="2" width="1.6640625" customWidth="1"/>
    <col min="3" max="3" width="11.88671875" bestFit="1" customWidth="1"/>
    <col min="4" max="4" width="1.6640625" customWidth="1"/>
    <col min="5" max="5" width="50.6640625" customWidth="1"/>
    <col min="6" max="7" width="10.6640625" customWidth="1"/>
    <col min="8" max="8" width="1.6640625" customWidth="1"/>
    <col min="9" max="9" width="15.6640625" customWidth="1"/>
    <col min="10" max="10" width="1.6640625" customWidth="1"/>
    <col min="12" max="12" width="1.6640625" customWidth="1"/>
    <col min="14" max="14" width="1.6640625" customWidth="1"/>
    <col min="15" max="15" width="12" bestFit="1" customWidth="1"/>
    <col min="16" max="16" width="1.6640625" customWidth="1"/>
  </cols>
  <sheetData>
    <row r="1" spans="1:20" x14ac:dyDescent="0.3">
      <c r="A1" s="155"/>
      <c r="B1" s="155"/>
      <c r="C1" s="156" t="s">
        <v>345</v>
      </c>
      <c r="D1" s="156"/>
      <c r="E1" s="156" t="s">
        <v>297</v>
      </c>
      <c r="F1" s="156" t="s">
        <v>404</v>
      </c>
      <c r="G1" s="169" t="s">
        <v>402</v>
      </c>
      <c r="H1" s="177"/>
      <c r="I1" s="169" t="s">
        <v>408</v>
      </c>
      <c r="J1" s="156"/>
      <c r="K1" s="156" t="s">
        <v>289</v>
      </c>
      <c r="L1" s="156"/>
      <c r="M1" s="156" t="s">
        <v>377</v>
      </c>
      <c r="N1" s="156"/>
      <c r="O1" s="156" t="s">
        <v>279</v>
      </c>
      <c r="P1" s="155"/>
    </row>
    <row r="2" spans="1:20" x14ac:dyDescent="0.3">
      <c r="A2" s="155"/>
      <c r="B2" s="155"/>
      <c r="C2" s="158">
        <v>2</v>
      </c>
      <c r="D2" s="156"/>
      <c r="E2" s="158" t="s">
        <v>358</v>
      </c>
      <c r="F2" s="170">
        <f>IFERROR(IF(AND(G2="Sí",C2&lt;=VLOOKUP(E2,TRASTIENDA!$A$2:$D$19,4,FALSE)),C2*$C$23,0),"")</f>
        <v>6</v>
      </c>
      <c r="G2" s="180" t="s">
        <v>401</v>
      </c>
      <c r="H2" s="178"/>
      <c r="I2" s="179" t="s">
        <v>401</v>
      </c>
      <c r="J2" s="156"/>
      <c r="K2" s="159">
        <f>IFERROR(VLOOKUP(E2,TRASTIENDA!$A$2:$D$19,2,FALSE),"")</f>
        <v>250</v>
      </c>
      <c r="L2" s="156"/>
      <c r="M2" s="158" t="s">
        <v>381</v>
      </c>
      <c r="N2" s="156"/>
      <c r="O2" s="163">
        <f>IFERROR(IF(C2&lt;=VLOOKUP(E2,TRASTIENDA!$A$2:$D$19,4,FALSE),C2*K2+C2*K2*VLOOKUP(M2,$S$4:$T$14,2,FALSE),0)+IF(AND(C2&lt;=VLOOKUP(E2,TRASTIENDA!$A$2:$D$19,4,FALSE),G2="Sí"),C2*$C$23,0)+IF(AND(C2&lt;=VLOOKUP(E2,TRASTIENDA!$A$2:$D$19,4,FALSE),I2="Sí"),$F$29,0),"")</f>
        <v>556</v>
      </c>
      <c r="P2" s="155"/>
      <c r="Q2" s="166">
        <f>IFERROR(IF(AND(G2="Sí",C2&lt;=VLOOKUP(E2,TRASTIENDA!$A$9:$D$19,4,FALSE)),C2*3,0),"")</f>
        <v>6</v>
      </c>
    </row>
    <row r="3" spans="1:20" x14ac:dyDescent="0.3">
      <c r="A3" s="155"/>
      <c r="B3" s="155"/>
      <c r="C3" s="158">
        <v>2</v>
      </c>
      <c r="D3" s="156"/>
      <c r="E3" s="158" t="s">
        <v>348</v>
      </c>
      <c r="F3" s="170">
        <f>IFERROR(IF(AND(G3="Sí",C3&lt;=VLOOKUP(E3,TRASTIENDA!$A$2:$D$19,4,FALSE)),C3*$C$23,0),"")</f>
        <v>0</v>
      </c>
      <c r="G3" s="180" t="s">
        <v>400</v>
      </c>
      <c r="H3" s="178"/>
      <c r="I3" s="179" t="s">
        <v>400</v>
      </c>
      <c r="J3" s="156"/>
      <c r="K3" s="159">
        <f>IFERROR(VLOOKUP(E3,TRASTIENDA!$A$2:$D$19,2,FALSE),"")</f>
        <v>40</v>
      </c>
      <c r="L3" s="156"/>
      <c r="M3" s="158" t="s">
        <v>382</v>
      </c>
      <c r="N3" s="156"/>
      <c r="O3" s="163">
        <f>IFERROR(IF(C3&lt;=VLOOKUP(E3,TRASTIENDA!$A$2:$D$19,4,FALSE),C3*K3+C3*K3*VLOOKUP(M3,$S$4:$T$14,2,FALSE),0)+IF(AND(C3&lt;=VLOOKUP(E3,TRASTIENDA!$A$2:$D$19,4,FALSE),G3="Sí"),C3*$C$23,0)+IF(AND(C3&lt;=VLOOKUP(E3,TRASTIENDA!$A$2:$D$19,4,FALSE),I3="Sí"),$F$29,0),"")</f>
        <v>80</v>
      </c>
      <c r="P3" s="155"/>
      <c r="Q3" s="166" t="str">
        <f>IFERROR(IF(AND(G3="Sí",C3&lt;=VLOOKUP(E3,TRASTIENDA!$A$9:$D$19,4,FALSE)),C3*3,0),"")</f>
        <v/>
      </c>
      <c r="S3" s="160" t="s">
        <v>378</v>
      </c>
      <c r="T3" s="161" t="s">
        <v>385</v>
      </c>
    </row>
    <row r="4" spans="1:20" x14ac:dyDescent="0.3">
      <c r="A4" s="155"/>
      <c r="B4" s="155"/>
      <c r="C4" s="158">
        <v>2</v>
      </c>
      <c r="D4" s="156"/>
      <c r="E4" s="158" t="s">
        <v>349</v>
      </c>
      <c r="F4" s="170">
        <f>IFERROR(IF(AND(G4="Sí",C4&lt;=VLOOKUP(E4,TRASTIENDA!$A$2:$D$19,4,FALSE)),C4*$C$23,0),"")</f>
        <v>6</v>
      </c>
      <c r="G4" s="180" t="s">
        <v>401</v>
      </c>
      <c r="H4" s="178"/>
      <c r="I4" s="179" t="s">
        <v>401</v>
      </c>
      <c r="J4" s="156"/>
      <c r="K4" s="159">
        <f>IFERROR(VLOOKUP(E4,TRASTIENDA!$A$2:$D$19,2,FALSE),"")</f>
        <v>80</v>
      </c>
      <c r="L4" s="156"/>
      <c r="M4" s="158" t="s">
        <v>379</v>
      </c>
      <c r="N4" s="156"/>
      <c r="O4" s="163">
        <f>IFERROR(IF(C4&lt;=VLOOKUP(E4,TRASTIENDA!$A$2:$D$19,4,FALSE),C4*K4+C4*K4*VLOOKUP(M4,$S$4:$T$14,2,FALSE),0)+IF(AND(C4&lt;=VLOOKUP(E4,TRASTIENDA!$A$2:$D$19,4,FALSE),G4="Sí"),C4*$C$23,0)+IF(AND(C4&lt;=VLOOKUP(E4,TRASTIENDA!$A$2:$D$19,4,FALSE),I4="Sí"),$F$29,0),"")</f>
        <v>174</v>
      </c>
      <c r="P4" s="155"/>
      <c r="Q4" s="166" t="str">
        <f>IFERROR(IF(AND(G4="Sí",C4&lt;=VLOOKUP(E4,TRASTIENDA!$A$9:$D$19,4,FALSE)),C4*3,0),"")</f>
        <v/>
      </c>
      <c r="S4" s="23" t="s">
        <v>379</v>
      </c>
      <c r="T4" s="162">
        <v>0.05</v>
      </c>
    </row>
    <row r="5" spans="1:20" x14ac:dyDescent="0.3">
      <c r="A5" s="155"/>
      <c r="B5" s="155"/>
      <c r="C5" s="158"/>
      <c r="D5" s="156"/>
      <c r="E5" s="158"/>
      <c r="F5" s="170"/>
      <c r="G5" s="180"/>
      <c r="H5" s="178"/>
      <c r="I5" s="179"/>
      <c r="J5" s="156"/>
      <c r="K5" s="159"/>
      <c r="L5" s="156"/>
      <c r="M5" s="158"/>
      <c r="N5" s="156"/>
      <c r="O5" s="163"/>
      <c r="P5" s="155"/>
      <c r="Q5" s="166"/>
      <c r="S5" s="23"/>
      <c r="T5" s="162"/>
    </row>
    <row r="6" spans="1:20" x14ac:dyDescent="0.3">
      <c r="A6" s="155"/>
      <c r="B6" s="155"/>
      <c r="C6" s="158"/>
      <c r="D6" s="156"/>
      <c r="E6" s="158"/>
      <c r="F6" s="170"/>
      <c r="G6" s="180"/>
      <c r="H6" s="178"/>
      <c r="I6" s="179"/>
      <c r="J6" s="156"/>
      <c r="K6" s="159"/>
      <c r="L6" s="156"/>
      <c r="M6" s="158"/>
      <c r="N6" s="156"/>
      <c r="O6" s="163"/>
      <c r="P6" s="155"/>
      <c r="Q6" s="166"/>
      <c r="S6" s="23"/>
      <c r="T6" s="162"/>
    </row>
    <row r="7" spans="1:20" x14ac:dyDescent="0.3">
      <c r="A7" s="155"/>
      <c r="B7" s="155"/>
      <c r="C7" s="158"/>
      <c r="D7" s="156"/>
      <c r="E7" s="158"/>
      <c r="F7" s="170"/>
      <c r="G7" s="180"/>
      <c r="H7" s="178"/>
      <c r="I7" s="179"/>
      <c r="J7" s="156"/>
      <c r="K7" s="159"/>
      <c r="L7" s="156"/>
      <c r="M7" s="158"/>
      <c r="N7" s="156"/>
      <c r="O7" s="163"/>
      <c r="P7" s="155"/>
      <c r="Q7" s="166"/>
      <c r="S7" s="23"/>
      <c r="T7" s="162"/>
    </row>
    <row r="8" spans="1:20" x14ac:dyDescent="0.3">
      <c r="A8" s="155"/>
      <c r="B8" s="155"/>
      <c r="C8" s="158"/>
      <c r="D8" s="156"/>
      <c r="E8" s="158"/>
      <c r="F8" s="170"/>
      <c r="G8" s="180"/>
      <c r="H8" s="178"/>
      <c r="I8" s="179"/>
      <c r="J8" s="156"/>
      <c r="K8" s="159"/>
      <c r="L8" s="156"/>
      <c r="M8" s="158"/>
      <c r="N8" s="156"/>
      <c r="O8" s="163"/>
      <c r="P8" s="155"/>
      <c r="Q8" s="166"/>
      <c r="S8" s="23"/>
      <c r="T8" s="162"/>
    </row>
    <row r="9" spans="1:20" x14ac:dyDescent="0.3">
      <c r="A9" s="155"/>
      <c r="B9" s="155"/>
      <c r="C9" s="158"/>
      <c r="D9" s="156"/>
      <c r="E9" s="158"/>
      <c r="F9" s="170"/>
      <c r="G9" s="180"/>
      <c r="H9" s="178"/>
      <c r="I9" s="179"/>
      <c r="J9" s="156"/>
      <c r="K9" s="159"/>
      <c r="L9" s="156"/>
      <c r="M9" s="158"/>
      <c r="N9" s="156"/>
      <c r="O9" s="163"/>
      <c r="P9" s="155"/>
      <c r="Q9" s="166"/>
      <c r="S9" s="23"/>
      <c r="T9" s="162"/>
    </row>
    <row r="10" spans="1:20" x14ac:dyDescent="0.3">
      <c r="A10" s="155"/>
      <c r="B10" s="155"/>
      <c r="C10" s="158">
        <v>4</v>
      </c>
      <c r="D10" s="156"/>
      <c r="E10" s="158" t="s">
        <v>348</v>
      </c>
      <c r="F10" s="170">
        <f>IFERROR(IF(AND(G10="Sí",C10&lt;=VLOOKUP(E10,TRASTIENDA!$A$2:$D$19,4,FALSE)),C10*$C$23,0),"")</f>
        <v>0</v>
      </c>
      <c r="G10" s="180" t="s">
        <v>400</v>
      </c>
      <c r="H10" s="178"/>
      <c r="I10" s="179" t="s">
        <v>400</v>
      </c>
      <c r="J10" s="156"/>
      <c r="K10" s="159">
        <f>IFERROR(VLOOKUP(E10,TRASTIENDA!$A$2:$D$19,2,FALSE),"")</f>
        <v>40</v>
      </c>
      <c r="L10" s="156"/>
      <c r="M10" s="158" t="s">
        <v>380</v>
      </c>
      <c r="N10" s="156"/>
      <c r="O10" s="163">
        <f>IFERROR(IF(C10&lt;=VLOOKUP(E10,TRASTIENDA!$A$2:$D$19,4,FALSE),C10*K10+C10*K10*VLOOKUP(M10,$S$4:$T$14,2,FALSE),0)+IF(AND(C10&lt;=VLOOKUP(E10,TRASTIENDA!$A$2:$D$19,4,FALSE),G10="Sí"),C10*$C$23,0)+IF(AND(C10&lt;=VLOOKUP(E10,TRASTIENDA!$A$2:$D$19,4,FALSE),I10="Sí"),$F$29,0),"")</f>
        <v>144</v>
      </c>
      <c r="P10" s="155"/>
      <c r="Q10" s="166" t="str">
        <f>IFERROR(IF(AND(G10="Sí",C10&lt;=VLOOKUP(E10,TRASTIENDA!$A$9:$D$19,4,FALSE)),C10*3,0),"")</f>
        <v/>
      </c>
      <c r="S10" s="23" t="s">
        <v>380</v>
      </c>
      <c r="T10" s="162">
        <v>-0.1</v>
      </c>
    </row>
    <row r="11" spans="1:20" x14ac:dyDescent="0.3">
      <c r="A11" s="155"/>
      <c r="B11" s="155"/>
      <c r="C11" s="158">
        <v>7</v>
      </c>
      <c r="D11" s="156"/>
      <c r="E11" s="158" t="s">
        <v>350</v>
      </c>
      <c r="F11" s="170">
        <f>IFERROR(IF(AND(G11="Sí",C11&lt;=VLOOKUP(E11,TRASTIENDA!$A$2:$D$19,4,FALSE)),C11*$C$23,0),"")</f>
        <v>21</v>
      </c>
      <c r="G11" s="180" t="s">
        <v>401</v>
      </c>
      <c r="H11" s="178"/>
      <c r="I11" s="179" t="s">
        <v>401</v>
      </c>
      <c r="J11" s="156"/>
      <c r="K11" s="159">
        <f>IFERROR(VLOOKUP(E11,TRASTIENDA!$A$2:$D$19,2,FALSE),"")</f>
        <v>150</v>
      </c>
      <c r="L11" s="156"/>
      <c r="M11" s="158" t="s">
        <v>381</v>
      </c>
      <c r="N11" s="156"/>
      <c r="O11" s="163">
        <f>IFERROR(IF(C11&lt;=VLOOKUP(E11,TRASTIENDA!$A$2:$D$19,4,FALSE),C11*K11+C11*K11*VLOOKUP(M11,$S$4:$T$14,2,FALSE),0)+IF(AND(C11&lt;=VLOOKUP(E11,TRASTIENDA!$A$2:$D$19,4,FALSE),G11="Sí"),C11*$C$23,0)+IF(AND(C11&lt;=VLOOKUP(E11,TRASTIENDA!$A$2:$D$19,4,FALSE),I11="Sí"),$F$29,0),"")</f>
        <v>1176</v>
      </c>
      <c r="P11" s="155"/>
      <c r="Q11" s="166" t="str">
        <f>IFERROR(IF(AND(G11="Sí",C11&lt;=VLOOKUP(E11,TRASTIENDA!$A$9:$D$19,4,FALSE)),C11*3,0),"")</f>
        <v/>
      </c>
      <c r="S11" s="23" t="s">
        <v>381</v>
      </c>
      <c r="T11" s="162">
        <v>0.1</v>
      </c>
    </row>
    <row r="12" spans="1:20" x14ac:dyDescent="0.3">
      <c r="A12" s="155"/>
      <c r="B12" s="155"/>
      <c r="C12" s="158">
        <v>4</v>
      </c>
      <c r="D12" s="156"/>
      <c r="E12" s="158" t="s">
        <v>354</v>
      </c>
      <c r="F12" s="170">
        <f>IFERROR(IF(AND(G12="Sí",C12&lt;=VLOOKUP(E12,TRASTIENDA!$A$2:$D$19,4,FALSE)),C12*$C$23,0),"")</f>
        <v>12</v>
      </c>
      <c r="G12" s="180" t="s">
        <v>401</v>
      </c>
      <c r="H12" s="178"/>
      <c r="I12" s="179" t="s">
        <v>401</v>
      </c>
      <c r="J12" s="156"/>
      <c r="K12" s="159">
        <f>IFERROR(VLOOKUP(E12,TRASTIENDA!$A$2:$D$19,2,FALSE),"")</f>
        <v>80</v>
      </c>
      <c r="L12" s="156"/>
      <c r="M12" s="158" t="s">
        <v>381</v>
      </c>
      <c r="N12" s="156"/>
      <c r="O12" s="163">
        <f>IFERROR(IF(C12&lt;=VLOOKUP(E12,TRASTIENDA!$A$2:$D$19,4,FALSE),C12*K12+C12*K12*VLOOKUP(M12,$S$4:$T$14,2,FALSE),0)+IF(AND(C12&lt;=VLOOKUP(E12,TRASTIENDA!$A$2:$D$19,4,FALSE),G12="Sí"),C12*$C$23,0)+IF(AND(C12&lt;=VLOOKUP(E12,TRASTIENDA!$A$2:$D$19,4,FALSE),I12="Sí"),$F$29,0),"")</f>
        <v>364</v>
      </c>
      <c r="P12" s="155"/>
      <c r="Q12" s="166" t="str">
        <f>IFERROR(IF(AND(G12="Sí",C12&lt;=VLOOKUP(E12,TRASTIENDA!$A$9:$D$19,4,FALSE)),C12*3,0),"")</f>
        <v/>
      </c>
      <c r="S12" s="23" t="s">
        <v>382</v>
      </c>
      <c r="T12" s="162">
        <v>0</v>
      </c>
    </row>
    <row r="13" spans="1:20" x14ac:dyDescent="0.3">
      <c r="A13" s="155"/>
      <c r="B13" s="155"/>
      <c r="C13" s="158">
        <v>2</v>
      </c>
      <c r="D13" s="156"/>
      <c r="E13" s="158" t="s">
        <v>354</v>
      </c>
      <c r="F13" s="170">
        <f>IFERROR(IF(AND(G13="Sí",C13&lt;=VLOOKUP(E13,TRASTIENDA!$A$2:$D$19,4,FALSE)),C13*$C$23,0),"")</f>
        <v>0</v>
      </c>
      <c r="G13" s="180" t="s">
        <v>400</v>
      </c>
      <c r="H13" s="178"/>
      <c r="I13" s="179" t="s">
        <v>400</v>
      </c>
      <c r="J13" s="156"/>
      <c r="K13" s="159">
        <f>IFERROR(VLOOKUP(E13,TRASTIENDA!$A$2:$D$19,2,FALSE),"")</f>
        <v>80</v>
      </c>
      <c r="L13" s="156"/>
      <c r="M13" s="158" t="s">
        <v>383</v>
      </c>
      <c r="N13" s="156"/>
      <c r="O13" s="163">
        <f>IFERROR(IF(C13&lt;=VLOOKUP(E13,TRASTIENDA!$A$2:$D$19,4,FALSE),C13*K13+C13*K13*VLOOKUP(M13,$S$4:$T$14,2,FALSE),0)+IF(AND(C13&lt;=VLOOKUP(E13,TRASTIENDA!$A$2:$D$19,4,FALSE),G13="Sí"),C13*$C$23,0)+IF(AND(C13&lt;=VLOOKUP(E13,TRASTIENDA!$A$2:$D$19,4,FALSE),I13="Sí"),$F$29,0),"")</f>
        <v>168</v>
      </c>
      <c r="P13" s="155"/>
      <c r="Q13" s="166" t="str">
        <f>IFERROR(IF(AND(G13="Sí",C13&lt;=VLOOKUP(E13,TRASTIENDA!$A$9:$D$19,4,FALSE)),C13*3,0),"")</f>
        <v/>
      </c>
      <c r="S13" s="23" t="s">
        <v>383</v>
      </c>
      <c r="T13" s="162">
        <v>0.05</v>
      </c>
    </row>
    <row r="14" spans="1:20" x14ac:dyDescent="0.3">
      <c r="A14" s="155"/>
      <c r="B14" s="155"/>
      <c r="C14" s="158">
        <v>24</v>
      </c>
      <c r="D14" s="156"/>
      <c r="E14" s="158" t="s">
        <v>349</v>
      </c>
      <c r="F14" s="170">
        <f>IFERROR(IF(AND(G14="Sí",C14&lt;=VLOOKUP(E14,TRASTIENDA!$A$2:$D$19,4,FALSE)),C14*$C$23,0),"")</f>
        <v>0</v>
      </c>
      <c r="G14" s="180" t="s">
        <v>400</v>
      </c>
      <c r="H14" s="178"/>
      <c r="I14" s="179" t="s">
        <v>400</v>
      </c>
      <c r="J14" s="156"/>
      <c r="K14" s="159">
        <f>IFERROR(VLOOKUP(E14,TRASTIENDA!$A$2:$D$19,2,FALSE),"")</f>
        <v>80</v>
      </c>
      <c r="L14" s="156"/>
      <c r="M14" s="158" t="s">
        <v>382</v>
      </c>
      <c r="N14" s="156"/>
      <c r="O14" s="163">
        <f>IFERROR(IF(C14&lt;=VLOOKUP(E14,TRASTIENDA!$A$2:$D$19,4,FALSE),C14*K14+C14*K14*VLOOKUP(M14,$S$4:$T$14,2,FALSE),0)+IF(AND(C14&lt;=VLOOKUP(E14,TRASTIENDA!$A$2:$D$19,4,FALSE),G14="Sí"),C14*$C$23,0)+IF(AND(C14&lt;=VLOOKUP(E14,TRASTIENDA!$A$2:$D$19,4,FALSE),I14="Sí"),$F$29,0),"")</f>
        <v>1920</v>
      </c>
      <c r="P14" s="155"/>
      <c r="Q14" s="166" t="str">
        <f>IFERROR(IF(AND(G14="Sí",C14&lt;=VLOOKUP(E14,TRASTIENDA!$A$9:$D$19,4,FALSE)),C14*3,0),"")</f>
        <v/>
      </c>
      <c r="S14" s="23" t="s">
        <v>384</v>
      </c>
      <c r="T14" s="162">
        <v>-0.2</v>
      </c>
    </row>
    <row r="15" spans="1:20" x14ac:dyDescent="0.3">
      <c r="A15" s="155"/>
      <c r="B15" s="155"/>
      <c r="C15" s="158">
        <v>12</v>
      </c>
      <c r="D15" s="156"/>
      <c r="E15" s="158" t="s">
        <v>363</v>
      </c>
      <c r="F15" s="170">
        <f>IFERROR(IF(AND(G15="Sí",C15&lt;=VLOOKUP(E15,TRASTIENDA!$A$2:$D$19,4,FALSE)),C15*$C$23,0),"")</f>
        <v>36</v>
      </c>
      <c r="G15" s="180" t="s">
        <v>401</v>
      </c>
      <c r="H15" s="178"/>
      <c r="I15" s="179" t="s">
        <v>401</v>
      </c>
      <c r="J15" s="156"/>
      <c r="K15" s="159">
        <f>IFERROR(VLOOKUP(E15,TRASTIENDA!$A$2:$D$19,2,FALSE),"")</f>
        <v>60</v>
      </c>
      <c r="L15" s="156"/>
      <c r="M15" s="158" t="s">
        <v>379</v>
      </c>
      <c r="N15" s="156"/>
      <c r="O15" s="163">
        <f>IFERROR(IF(C15&lt;=VLOOKUP(E15,TRASTIENDA!$A$2:$D$19,4,FALSE),C15*K15+C15*K15*VLOOKUP(M15,$S$4:$T$14,2,FALSE),0)+IF(AND(C15&lt;=VLOOKUP(E15,TRASTIENDA!$A$2:$D$19,4,FALSE),G15="Sí"),C15*$C$23,0)+IF(AND(C15&lt;=VLOOKUP(E15,TRASTIENDA!$A$2:$D$19,4,FALSE),I15="Sí"),$F$29,0),"")</f>
        <v>792</v>
      </c>
      <c r="P15" s="155"/>
      <c r="Q15" s="166">
        <f>IFERROR(IF(AND(G15="Sí",C15&lt;=VLOOKUP(E15,TRASTIENDA!$A$9:$D$19,4,FALSE)),C15*3,0),"")</f>
        <v>36</v>
      </c>
    </row>
    <row r="16" spans="1:20" x14ac:dyDescent="0.3">
      <c r="A16" s="155"/>
      <c r="B16" s="155"/>
      <c r="C16" s="158">
        <v>23</v>
      </c>
      <c r="D16" s="156"/>
      <c r="E16" s="158" t="s">
        <v>351</v>
      </c>
      <c r="F16" s="170">
        <f>IFERROR(IF(AND(G16="Sí",C16&lt;=VLOOKUP(E16,TRASTIENDA!$A$2:$D$19,4,FALSE)),C16*$C$23,0),"")</f>
        <v>69</v>
      </c>
      <c r="G16" s="180" t="s">
        <v>401</v>
      </c>
      <c r="H16" s="178"/>
      <c r="I16" s="179" t="s">
        <v>400</v>
      </c>
      <c r="J16" s="156"/>
      <c r="K16" s="159">
        <f>IFERROR(VLOOKUP(E16,TRASTIENDA!$A$2:$D$19,2,FALSE),"")</f>
        <v>100</v>
      </c>
      <c r="L16" s="156"/>
      <c r="M16" s="158" t="s">
        <v>380</v>
      </c>
      <c r="N16" s="156"/>
      <c r="O16" s="163">
        <f>IFERROR(IF(C16&lt;=VLOOKUP(E16,TRASTIENDA!$A$2:$D$19,4,FALSE),C16*K16+C16*K16*VLOOKUP(M16,$S$4:$T$14,2,FALSE),0)+IF(AND(C16&lt;=VLOOKUP(E16,TRASTIENDA!$A$2:$D$19,4,FALSE),G16="Sí"),C16*$C$23,0)+IF(AND(C16&lt;=VLOOKUP(E16,TRASTIENDA!$A$2:$D$19,4,FALSE),I16="Sí"),$F$29,0),"")</f>
        <v>2139</v>
      </c>
      <c r="P16" s="155"/>
      <c r="Q16" s="166" t="str">
        <f>IFERROR(IF(AND(G16="Sí",C16&lt;=VLOOKUP(E16,TRASTIENDA!$A$9:$D$19,4,FALSE)),C16*3,0),"")</f>
        <v/>
      </c>
      <c r="S16" s="164" t="s">
        <v>386</v>
      </c>
      <c r="T16" s="182" t="s">
        <v>298</v>
      </c>
    </row>
    <row r="17" spans="1:20" x14ac:dyDescent="0.3">
      <c r="A17" s="155"/>
      <c r="B17" s="155"/>
      <c r="C17" s="158"/>
      <c r="D17" s="156"/>
      <c r="E17" s="158"/>
      <c r="F17" s="170" t="str">
        <f>IFERROR(IF(AND(G17="Sí",C17&lt;=VLOOKUP(E17,TRASTIENDA!$A$2:$D$19,4,FALSE)),C17*$C$23,0),"")</f>
        <v/>
      </c>
      <c r="G17" s="180"/>
      <c r="H17" s="178"/>
      <c r="I17" s="179"/>
      <c r="J17" s="156"/>
      <c r="K17" s="159" t="str">
        <f>IFERROR(VLOOKUP(E17,TRASTIENDA!$A$2:$D$19,2,FALSE),"")</f>
        <v/>
      </c>
      <c r="L17" s="156"/>
      <c r="M17" s="158"/>
      <c r="N17" s="156"/>
      <c r="O17" s="163" t="str">
        <f>IFERROR(IF(C17&lt;=VLOOKUP(E17,TRASTIENDA!$A$2:$D$19,4,FALSE),C17*K17+C17*K17*VLOOKUP(M17,$S$4:$T$14,2,FALSE),0)+IF(AND(C17&lt;=VLOOKUP(E17,TRASTIENDA!$A$2:$D$19,4,FALSE),G17="Sí"),C17*$C$23,0)+IF(AND(C17&lt;=VLOOKUP(E17,TRASTIENDA!$A$2:$D$19,4,FALSE),I17="Sí"),$F$29,0),"")</f>
        <v/>
      </c>
      <c r="P17" s="155"/>
      <c r="Q17" s="166" t="str">
        <f>IFERROR(IF(AND(G17="Sí",C17&lt;=VLOOKUP(E17,TRASTIENDA!$A$9:$D$19,4,FALSE)),C17*3,0),"")</f>
        <v/>
      </c>
      <c r="S17" s="23" t="s">
        <v>387</v>
      </c>
      <c r="T17" s="165">
        <v>5</v>
      </c>
    </row>
    <row r="18" spans="1:20" x14ac:dyDescent="0.3">
      <c r="A18" s="155"/>
      <c r="B18" s="155"/>
      <c r="C18" s="158"/>
      <c r="D18" s="156"/>
      <c r="E18" s="158"/>
      <c r="F18" s="170" t="str">
        <f>IFERROR(IF(AND(G18="Sí",C18&lt;=VLOOKUP(E18,TRASTIENDA!$A$2:$D$19,4,FALSE)),C18*$C$23,0),"")</f>
        <v/>
      </c>
      <c r="G18" s="180"/>
      <c r="H18" s="178"/>
      <c r="I18" s="179"/>
      <c r="J18" s="156"/>
      <c r="K18" s="159" t="str">
        <f>IFERROR(VLOOKUP(E18,TRASTIENDA!$A$2:$D$19,2,FALSE),"")</f>
        <v/>
      </c>
      <c r="L18" s="156"/>
      <c r="M18" s="158"/>
      <c r="N18" s="156"/>
      <c r="O18" s="163" t="str">
        <f>IFERROR(IF(C18&lt;=VLOOKUP(E18,TRASTIENDA!$A$2:$D$19,4,FALSE),C18*K18+C18*K18*VLOOKUP(M18,$S$4:$T$14,2,FALSE),0)+IF(AND(C18&lt;=VLOOKUP(E18,TRASTIENDA!$A$2:$D$19,4,FALSE),G18="Sí"),C18*$C$23,0)+IF(AND(C18&lt;=VLOOKUP(E18,TRASTIENDA!$A$2:$D$19,4,FALSE),I18="Sí"),$F$29,0),"")</f>
        <v/>
      </c>
      <c r="P18" s="155"/>
      <c r="Q18" s="166" t="str">
        <f>IFERROR(IF(AND(G18="Sí",C18&lt;=VLOOKUP(E18,TRASTIENDA!$A$9:$D$19,4,FALSE)),C18*3,0),"")</f>
        <v/>
      </c>
      <c r="S18" s="23" t="s">
        <v>388</v>
      </c>
      <c r="T18" s="165">
        <v>10</v>
      </c>
    </row>
    <row r="19" spans="1:20" ht="15" thickBot="1" x14ac:dyDescent="0.35">
      <c r="A19" s="155"/>
      <c r="B19" s="155"/>
      <c r="C19" s="156"/>
      <c r="D19" s="156"/>
      <c r="E19" s="156"/>
      <c r="F19" s="156"/>
      <c r="G19" s="156"/>
      <c r="H19" s="14"/>
      <c r="I19" s="156"/>
      <c r="J19" s="156"/>
      <c r="K19" s="156"/>
      <c r="L19" s="156"/>
      <c r="M19" s="156"/>
      <c r="N19" s="156"/>
      <c r="O19" s="156"/>
      <c r="P19" s="155"/>
      <c r="S19" s="23" t="s">
        <v>389</v>
      </c>
      <c r="T19" s="165">
        <v>15</v>
      </c>
    </row>
    <row r="20" spans="1:20" ht="15" thickBot="1" x14ac:dyDescent="0.35">
      <c r="C20" s="172">
        <f>SUMIF(G2:G18,"Sí",C2:C18)</f>
        <v>50</v>
      </c>
      <c r="E20" s="149" t="s">
        <v>405</v>
      </c>
      <c r="K20" s="202" t="s">
        <v>290</v>
      </c>
      <c r="L20" s="202"/>
      <c r="M20" s="202"/>
      <c r="O20" s="173">
        <f>SUM(O2:O18)-IF(C20&gt;=$C$27,SUM(F2:F18),0)</f>
        <v>7513</v>
      </c>
      <c r="S20" s="23" t="s">
        <v>390</v>
      </c>
      <c r="T20" s="165">
        <v>20</v>
      </c>
    </row>
    <row r="21" spans="1:20" ht="15" thickBot="1" x14ac:dyDescent="0.35">
      <c r="F21" s="171">
        <f>SUM(F2:F18)/3</f>
        <v>50</v>
      </c>
      <c r="S21" s="23" t="s">
        <v>391</v>
      </c>
      <c r="T21" s="165">
        <v>30</v>
      </c>
    </row>
    <row r="22" spans="1:20" ht="15" thickBot="1" x14ac:dyDescent="0.35">
      <c r="K22" s="202" t="s">
        <v>393</v>
      </c>
      <c r="L22" s="202"/>
      <c r="M22" s="202"/>
      <c r="O22" s="174">
        <f>IF(O20&gt;=5000,O20*5%,IF(O20&gt;=4000,O20*4%,IF(O20&gt;=3000,O20*3%,IF(O20&gt;=2000,O20*2%,0))))</f>
        <v>375.65000000000003</v>
      </c>
      <c r="S22" s="23" t="s">
        <v>392</v>
      </c>
      <c r="T22" s="23">
        <v>50</v>
      </c>
    </row>
    <row r="23" spans="1:20" ht="15" thickBot="1" x14ac:dyDescent="0.35">
      <c r="C23" s="176">
        <v>3</v>
      </c>
      <c r="E23" s="149" t="s">
        <v>406</v>
      </c>
      <c r="K23" s="203" t="s">
        <v>387</v>
      </c>
      <c r="L23" s="203"/>
      <c r="M23" s="203"/>
    </row>
    <row r="24" spans="1:20" ht="15" thickBot="1" x14ac:dyDescent="0.35">
      <c r="E24" s="95"/>
      <c r="F24" s="95"/>
      <c r="K24" s="202" t="s">
        <v>394</v>
      </c>
      <c r="L24" s="202"/>
      <c r="M24" s="202"/>
      <c r="O24" s="174">
        <f>IFERROR(VLOOKUP(K23,S17:T22,2,FALSE),0)</f>
        <v>5</v>
      </c>
    </row>
    <row r="25" spans="1:20" ht="15" thickBot="1" x14ac:dyDescent="0.35">
      <c r="E25">
        <v>8</v>
      </c>
      <c r="K25" s="206" t="s">
        <v>396</v>
      </c>
      <c r="L25" s="206"/>
      <c r="M25" s="206"/>
      <c r="R25" s="204" t="s">
        <v>395</v>
      </c>
      <c r="S25" s="205"/>
    </row>
    <row r="26" spans="1:20" ht="15" thickBot="1" x14ac:dyDescent="0.35">
      <c r="K26" s="202" t="s">
        <v>399</v>
      </c>
      <c r="L26" s="202"/>
      <c r="M26" s="202"/>
      <c r="O26" s="175">
        <f>IFERROR((O20-O22+O25)*VLOOKUP(K25,$R$26:$S$28,2,FALSE),0)</f>
        <v>713.73500000000013</v>
      </c>
      <c r="R26" s="168" t="s">
        <v>398</v>
      </c>
      <c r="S26" s="162">
        <v>0.04</v>
      </c>
    </row>
    <row r="27" spans="1:20" ht="15" customHeight="1" thickBot="1" x14ac:dyDescent="0.35">
      <c r="C27" s="67">
        <v>56</v>
      </c>
      <c r="E27" s="149" t="s">
        <v>407</v>
      </c>
      <c r="R27" s="168" t="s">
        <v>396</v>
      </c>
      <c r="S27" s="162">
        <v>0.1</v>
      </c>
    </row>
    <row r="28" spans="1:20" ht="15" thickBot="1" x14ac:dyDescent="0.35">
      <c r="I28" s="167"/>
      <c r="K28" s="202" t="s">
        <v>293</v>
      </c>
      <c r="L28" s="202"/>
      <c r="M28" s="202"/>
      <c r="O28" s="173">
        <f>O20-O22+O24+O26</f>
        <v>7856.0850000000009</v>
      </c>
      <c r="R28" s="168" t="s">
        <v>397</v>
      </c>
      <c r="S28" s="162">
        <v>0.21</v>
      </c>
    </row>
    <row r="29" spans="1:20" ht="15" thickBot="1" x14ac:dyDescent="0.35">
      <c r="E29" s="149" t="s">
        <v>409</v>
      </c>
      <c r="G29" s="181">
        <v>5</v>
      </c>
      <c r="R29" s="168"/>
      <c r="S29" s="23"/>
    </row>
    <row r="30" spans="1:20" ht="15" thickBot="1" x14ac:dyDescent="0.35">
      <c r="K30" s="202" t="s">
        <v>403</v>
      </c>
      <c r="L30" s="202"/>
      <c r="M30" s="202"/>
    </row>
    <row r="31" spans="1:20" x14ac:dyDescent="0.3">
      <c r="Q31" s="183"/>
    </row>
    <row r="32" spans="1:20" x14ac:dyDescent="0.3">
      <c r="Q32" s="184"/>
    </row>
    <row r="33" spans="17:20" x14ac:dyDescent="0.3">
      <c r="Q33" s="184"/>
    </row>
    <row r="34" spans="17:20" x14ac:dyDescent="0.3">
      <c r="Q34" s="184"/>
      <c r="T34" t="s">
        <v>401</v>
      </c>
    </row>
    <row r="35" spans="17:20" x14ac:dyDescent="0.3">
      <c r="Q35" s="184"/>
      <c r="T35" t="s">
        <v>400</v>
      </c>
    </row>
    <row r="36" spans="17:20" x14ac:dyDescent="0.3">
      <c r="Q36" s="185"/>
    </row>
    <row r="37" spans="17:20" x14ac:dyDescent="0.3">
      <c r="Q37" s="185"/>
    </row>
    <row r="38" spans="17:20" x14ac:dyDescent="0.3">
      <c r="Q38" s="185"/>
    </row>
    <row r="39" spans="17:20" x14ac:dyDescent="0.3">
      <c r="Q39" s="185"/>
    </row>
    <row r="40" spans="17:20" x14ac:dyDescent="0.3">
      <c r="Q40" s="186"/>
    </row>
    <row r="41" spans="17:20" x14ac:dyDescent="0.3">
      <c r="Q41" s="186"/>
    </row>
    <row r="42" spans="17:20" x14ac:dyDescent="0.3">
      <c r="Q42" s="186"/>
    </row>
    <row r="43" spans="17:20" x14ac:dyDescent="0.3">
      <c r="Q43" s="186"/>
    </row>
    <row r="44" spans="17:20" x14ac:dyDescent="0.3">
      <c r="Q44" s="186"/>
    </row>
    <row r="45" spans="17:20" x14ac:dyDescent="0.3">
      <c r="Q45" s="186"/>
    </row>
    <row r="46" spans="17:20" x14ac:dyDescent="0.3">
      <c r="Q46" s="186"/>
    </row>
    <row r="47" spans="17:20" x14ac:dyDescent="0.3">
      <c r="Q47" s="184"/>
    </row>
    <row r="48" spans="17:20" x14ac:dyDescent="0.3">
      <c r="Q48" s="184"/>
    </row>
    <row r="49" spans="17:17" x14ac:dyDescent="0.3">
      <c r="Q49" s="184"/>
    </row>
    <row r="50" spans="17:17" x14ac:dyDescent="0.3">
      <c r="Q50" s="184"/>
    </row>
    <row r="51" spans="17:17" x14ac:dyDescent="0.3">
      <c r="Q51" s="184"/>
    </row>
    <row r="52" spans="17:17" x14ac:dyDescent="0.3">
      <c r="Q52" s="185"/>
    </row>
    <row r="53" spans="17:17" x14ac:dyDescent="0.3">
      <c r="Q53" s="185"/>
    </row>
    <row r="54" spans="17:17" x14ac:dyDescent="0.3">
      <c r="Q54" s="185"/>
    </row>
    <row r="55" spans="17:17" ht="15" thickBot="1" x14ac:dyDescent="0.35">
      <c r="Q55" s="187"/>
    </row>
  </sheetData>
  <mergeCells count="9">
    <mergeCell ref="K30:M30"/>
    <mergeCell ref="K26:M26"/>
    <mergeCell ref="K28:M28"/>
    <mergeCell ref="K20:M20"/>
    <mergeCell ref="K22:M22"/>
    <mergeCell ref="K24:M24"/>
    <mergeCell ref="K23:M23"/>
    <mergeCell ref="R25:S25"/>
    <mergeCell ref="K25:M25"/>
  </mergeCells>
  <conditionalFormatting sqref="O2:O18">
    <cfRule type="cellIs" dxfId="4" priority="5" operator="equal">
      <formula>0</formula>
    </cfRule>
  </conditionalFormatting>
  <conditionalFormatting sqref="C20">
    <cfRule type="cellIs" dxfId="3" priority="2" operator="lessThan">
      <formula>$C$27*80%</formula>
    </cfRule>
    <cfRule type="cellIs" dxfId="2" priority="3" operator="lessThan">
      <formula>$C$27</formula>
    </cfRule>
    <cfRule type="cellIs" dxfId="1" priority="4" operator="greaterThanOrEqual">
      <formula>$C$27</formula>
    </cfRule>
  </conditionalFormatting>
  <conditionalFormatting sqref="C2:C18 E2:G18 K2:K18 M2:M18 I2:I18 O2:O18">
    <cfRule type="containsBlanks" dxfId="0" priority="1">
      <formula>LEN(TRIM(C2))=0</formula>
    </cfRule>
  </conditionalFormatting>
  <dataValidations count="7">
    <dataValidation type="list" allowBlank="1" showInputMessage="1" showErrorMessage="1" sqref="M2:M18" xr:uid="{00000000-0002-0000-1500-000000000000}">
      <formula1>$S$4:$S$14</formula1>
    </dataValidation>
    <dataValidation type="list" allowBlank="1" showInputMessage="1" showErrorMessage="1" sqref="K23:M23" xr:uid="{00000000-0002-0000-1500-000001000000}">
      <formula1>$S$17:$S$22</formula1>
    </dataValidation>
    <dataValidation type="list" allowBlank="1" showInputMessage="1" showErrorMessage="1" sqref="K25:M25" xr:uid="{00000000-0002-0000-1500-000002000000}">
      <formula1>$R$26:$R$28</formula1>
    </dataValidation>
    <dataValidation type="whole" allowBlank="1" showInputMessage="1" showErrorMessage="1" errorTitle="La has cagado (nunca mejor dicho" error="Te has pasado de listo_x000a_Preo" promptTitle="Veces que vas al baño" prompt="Indica las veces que vas al baño" sqref="E25:F25" xr:uid="{00000000-0002-0000-1500-000003000000}">
      <formula1>5</formula1>
      <formula2>20</formula2>
    </dataValidation>
    <dataValidation type="list" allowBlank="1" showInputMessage="1" showErrorMessage="1" sqref="G2:G18 I2:I18" xr:uid="{00000000-0002-0000-1500-000004000000}">
      <formula1>$T$34:$T$35</formula1>
    </dataValidation>
    <dataValidation type="whole" allowBlank="1" showInputMessage="1" showErrorMessage="1" errorTitle="FATAL ERROR" error="INTRODUCE UN NÚMERO DE ARTÍCULOS ENTRE 50 Y 85." promptTitle="OBJETIVO VENTAS" prompt="INTRODUCE UN NÚMERO DE ARTÍCULOS ENTRE 50 Y 85." sqref="C27" xr:uid="{00000000-0002-0000-1500-000005000000}">
      <formula1>50</formula1>
      <formula2>85</formula2>
    </dataValidation>
    <dataValidation type="decimal" allowBlank="1" showInputMessage="1" showErrorMessage="1" errorTitle="NO TE ENTERAS" error="INTRODUCE UN NUMERO ENTRE 0 Y 10" promptTitle="PERSONALIZAR ARTICULOS" prompt="INTRODUCE UN NUMERO ENTRE 0 Y 10" sqref="G29" xr:uid="{00000000-0002-0000-1500-000006000000}">
      <formula1>0</formula1>
      <formula2>10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500-000007000000}">
          <x14:formula1>
            <xm:f>TRASTIENDA!$A$2:$A$19</xm:f>
          </x14:formula1>
          <xm:sqref>E2:E18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Hoja4</vt:lpstr>
      <vt:lpstr>Hoja1</vt:lpstr>
      <vt:lpstr>Hoja2</vt:lpstr>
      <vt:lpstr>FUMETAS</vt:lpstr>
      <vt:lpstr>DESAFIO</vt:lpstr>
      <vt:lpstr>EVALUACION</vt:lpstr>
      <vt:lpstr>TRAYECTORIA</vt:lpstr>
      <vt:lpstr>NOTAS DE CHAVALES</vt:lpstr>
      <vt:lpstr>QUINIELA</vt:lpstr>
      <vt:lpstr>ESTUDIANTES</vt:lpstr>
      <vt:lpstr>INSTITUTO</vt:lpstr>
      <vt:lpstr>HERMANAS</vt:lpstr>
      <vt:lpstr>GRAN SLAM</vt:lpstr>
      <vt:lpstr>MALEANTES</vt:lpstr>
      <vt:lpstr>KARNAUGH</vt:lpstr>
      <vt:lpstr>KARNAUGH-4</vt:lpstr>
      <vt:lpstr>CARNAVAL</vt:lpstr>
      <vt:lpstr>FACTURA</vt:lpstr>
      <vt:lpstr>ALMACEN</vt:lpstr>
      <vt:lpstr>TIENDA</vt:lpstr>
      <vt:lpstr>TRASTIENDA</vt:lpstr>
      <vt:lpstr>OH MADRID!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2020-03-08T17:36:19Z</dcterms:modified>
</cp:coreProperties>
</file>