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2035" windowHeight="10545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AF28" i="1"/>
  <c r="AF27"/>
  <c r="AF26"/>
  <c r="AF25"/>
  <c r="AF24"/>
  <c r="AF23"/>
  <c r="AF19"/>
  <c r="AF18"/>
  <c r="AF17"/>
  <c r="AF16"/>
  <c r="AF15"/>
  <c r="AF14"/>
  <c r="AF6"/>
  <c r="AF7"/>
  <c r="AF8"/>
  <c r="AF9"/>
  <c r="AF10"/>
  <c r="AF5"/>
  <c r="G23"/>
  <c r="H23"/>
  <c r="G24"/>
  <c r="H24"/>
  <c r="G25"/>
  <c r="H25"/>
  <c r="G26"/>
  <c r="H26"/>
  <c r="G27"/>
  <c r="H27"/>
  <c r="G28"/>
  <c r="H28"/>
  <c r="H29"/>
  <c r="J24"/>
  <c r="J23"/>
  <c r="M23"/>
  <c r="N23"/>
  <c r="O23"/>
  <c r="M24"/>
  <c r="N24"/>
  <c r="P24"/>
  <c r="J25"/>
  <c r="O24"/>
  <c r="M25"/>
  <c r="N25"/>
  <c r="P25"/>
  <c r="J26"/>
  <c r="O25"/>
  <c r="M26"/>
  <c r="N26"/>
  <c r="P26"/>
  <c r="J27"/>
  <c r="O26"/>
  <c r="M27"/>
  <c r="N27"/>
  <c r="P27"/>
  <c r="J28"/>
  <c r="O27"/>
  <c r="M28"/>
  <c r="N28"/>
  <c r="P28"/>
  <c r="P23"/>
  <c r="G14"/>
  <c r="H14"/>
  <c r="G15"/>
  <c r="H15"/>
  <c r="G16"/>
  <c r="H16"/>
  <c r="G17"/>
  <c r="H17"/>
  <c r="G18"/>
  <c r="H18"/>
  <c r="G19"/>
  <c r="H19"/>
  <c r="H20"/>
  <c r="J15"/>
  <c r="J14"/>
  <c r="M14"/>
  <c r="N14"/>
  <c r="O14"/>
  <c r="M15"/>
  <c r="N15"/>
  <c r="P15"/>
  <c r="J16"/>
  <c r="O15"/>
  <c r="M16"/>
  <c r="N16"/>
  <c r="P16"/>
  <c r="J17"/>
  <c r="O16"/>
  <c r="M17"/>
  <c r="N17"/>
  <c r="P17"/>
  <c r="J18"/>
  <c r="O17"/>
  <c r="M18"/>
  <c r="N18"/>
  <c r="P18"/>
  <c r="J19"/>
  <c r="O18"/>
  <c r="M19"/>
  <c r="N19"/>
  <c r="P19"/>
  <c r="P14"/>
  <c r="G5"/>
  <c r="H5"/>
  <c r="G6"/>
  <c r="H6"/>
  <c r="G7"/>
  <c r="H7"/>
  <c r="G8"/>
  <c r="H8"/>
  <c r="G9"/>
  <c r="H9"/>
  <c r="G10"/>
  <c r="H10"/>
  <c r="H11"/>
  <c r="J6"/>
  <c r="J5"/>
  <c r="M5"/>
  <c r="N5"/>
  <c r="O5"/>
  <c r="M6"/>
  <c r="N6"/>
  <c r="P6"/>
  <c r="J7"/>
  <c r="O6"/>
  <c r="M7"/>
  <c r="N7"/>
  <c r="P7"/>
  <c r="J8"/>
  <c r="O7"/>
  <c r="M8"/>
  <c r="N8"/>
  <c r="P8"/>
  <c r="J9"/>
  <c r="O8"/>
  <c r="M9"/>
  <c r="N9"/>
  <c r="P9"/>
  <c r="J10"/>
  <c r="O9"/>
  <c r="M10"/>
  <c r="N10"/>
  <c r="P10"/>
  <c r="P5"/>
  <c r="L24"/>
  <c r="L25"/>
  <c r="L26"/>
  <c r="L27"/>
  <c r="L28"/>
  <c r="L23"/>
  <c r="L15"/>
  <c r="L16"/>
  <c r="L17"/>
  <c r="L18"/>
  <c r="L19"/>
  <c r="L14"/>
  <c r="L6"/>
  <c r="L7"/>
  <c r="L8"/>
  <c r="L9"/>
  <c r="L10"/>
  <c r="L5"/>
  <c r="K28"/>
  <c r="K27"/>
  <c r="K26"/>
  <c r="K25"/>
  <c r="K24"/>
  <c r="K23"/>
  <c r="K19"/>
  <c r="K18"/>
  <c r="K17"/>
  <c r="K16"/>
  <c r="K15"/>
  <c r="K14"/>
  <c r="K6"/>
  <c r="K7"/>
  <c r="K8"/>
  <c r="K9"/>
  <c r="K10"/>
  <c r="K5"/>
  <c r="AJ23"/>
  <c r="AE23"/>
  <c r="AG23"/>
  <c r="AE24"/>
  <c r="AG24"/>
  <c r="AE25"/>
  <c r="AG25"/>
  <c r="AE26"/>
  <c r="AG26"/>
  <c r="AE27"/>
  <c r="AG27"/>
  <c r="AE28"/>
  <c r="AG28"/>
  <c r="AG29"/>
  <c r="AH23"/>
  <c r="AI23"/>
  <c r="AP23"/>
  <c r="AJ24"/>
  <c r="AH24"/>
  <c r="AI24"/>
  <c r="AP24"/>
  <c r="AJ25"/>
  <c r="AH25"/>
  <c r="AI25"/>
  <c r="AP25"/>
  <c r="AJ26"/>
  <c r="AH26"/>
  <c r="AI26"/>
  <c r="AP26"/>
  <c r="AJ27"/>
  <c r="AH27"/>
  <c r="AI27"/>
  <c r="AP27"/>
  <c r="AJ28"/>
  <c r="AH28"/>
  <c r="AI28"/>
  <c r="AP28"/>
  <c r="AP29"/>
  <c r="AL23"/>
  <c r="AO23"/>
  <c r="AM23"/>
  <c r="AN23"/>
  <c r="AL24"/>
  <c r="AO24"/>
  <c r="AM24"/>
  <c r="AN24"/>
  <c r="AL25"/>
  <c r="AO25"/>
  <c r="AM25"/>
  <c r="AN25"/>
  <c r="AL26"/>
  <c r="AO26"/>
  <c r="AM26"/>
  <c r="AN26"/>
  <c r="AL27"/>
  <c r="AO27"/>
  <c r="AM27"/>
  <c r="AN27"/>
  <c r="AL28"/>
  <c r="AO28"/>
  <c r="AO29"/>
  <c r="AI29"/>
  <c r="AH29"/>
  <c r="V23"/>
  <c r="S23"/>
  <c r="S24"/>
  <c r="S25"/>
  <c r="S26"/>
  <c r="S27"/>
  <c r="S28"/>
  <c r="S29"/>
  <c r="T23"/>
  <c r="U23"/>
  <c r="AB23"/>
  <c r="V24"/>
  <c r="T24"/>
  <c r="U24"/>
  <c r="AB24"/>
  <c r="V25"/>
  <c r="T25"/>
  <c r="U25"/>
  <c r="AB25"/>
  <c r="V26"/>
  <c r="T26"/>
  <c r="U26"/>
  <c r="AB26"/>
  <c r="V27"/>
  <c r="T27"/>
  <c r="U27"/>
  <c r="AB27"/>
  <c r="V28"/>
  <c r="T28"/>
  <c r="U28"/>
  <c r="AB28"/>
  <c r="AB29"/>
  <c r="X23"/>
  <c r="AA23"/>
  <c r="Y23"/>
  <c r="Z23"/>
  <c r="X24"/>
  <c r="AA24"/>
  <c r="Y24"/>
  <c r="Z24"/>
  <c r="X25"/>
  <c r="AA25"/>
  <c r="Y25"/>
  <c r="Z25"/>
  <c r="X26"/>
  <c r="AA26"/>
  <c r="Y26"/>
  <c r="Z26"/>
  <c r="X27"/>
  <c r="AA27"/>
  <c r="Y27"/>
  <c r="Z27"/>
  <c r="X28"/>
  <c r="AA28"/>
  <c r="AA29"/>
  <c r="U29"/>
  <c r="T29"/>
  <c r="F23"/>
  <c r="F24"/>
  <c r="F25"/>
  <c r="F26"/>
  <c r="F27"/>
  <c r="F28"/>
  <c r="P29"/>
  <c r="J29"/>
  <c r="F29"/>
  <c r="AM28"/>
  <c r="AN28"/>
  <c r="AK28"/>
  <c r="Y28"/>
  <c r="Z28"/>
  <c r="W28"/>
  <c r="O28"/>
  <c r="AK27"/>
  <c r="W27"/>
  <c r="AK26"/>
  <c r="W26"/>
  <c r="AK25"/>
  <c r="W25"/>
  <c r="AK24"/>
  <c r="W24"/>
  <c r="AK23"/>
  <c r="W23"/>
  <c r="AJ14"/>
  <c r="AE14"/>
  <c r="AG14"/>
  <c r="AE15"/>
  <c r="AG15"/>
  <c r="AE16"/>
  <c r="AG16"/>
  <c r="AE17"/>
  <c r="AG17"/>
  <c r="AE18"/>
  <c r="AG18"/>
  <c r="AE19"/>
  <c r="AG19"/>
  <c r="AG20"/>
  <c r="AH14"/>
  <c r="AI14"/>
  <c r="AP14"/>
  <c r="AJ15"/>
  <c r="AH15"/>
  <c r="AI15"/>
  <c r="AP15"/>
  <c r="AJ16"/>
  <c r="AH16"/>
  <c r="AI16"/>
  <c r="AP16"/>
  <c r="AJ17"/>
  <c r="AH17"/>
  <c r="AI17"/>
  <c r="AP17"/>
  <c r="AJ18"/>
  <c r="AH18"/>
  <c r="AI18"/>
  <c r="AP18"/>
  <c r="AJ19"/>
  <c r="AH19"/>
  <c r="AI19"/>
  <c r="AP19"/>
  <c r="AP20"/>
  <c r="AL14"/>
  <c r="AO14"/>
  <c r="AM14"/>
  <c r="AN14"/>
  <c r="AL15"/>
  <c r="AO15"/>
  <c r="AM15"/>
  <c r="AN15"/>
  <c r="AL16"/>
  <c r="AO16"/>
  <c r="AM16"/>
  <c r="AN16"/>
  <c r="AL17"/>
  <c r="AO17"/>
  <c r="AM17"/>
  <c r="AN17"/>
  <c r="AL18"/>
  <c r="AO18"/>
  <c r="AM18"/>
  <c r="AN18"/>
  <c r="AL19"/>
  <c r="AO19"/>
  <c r="AO20"/>
  <c r="AI20"/>
  <c r="AH20"/>
  <c r="V14"/>
  <c r="S14"/>
  <c r="S15"/>
  <c r="S16"/>
  <c r="S17"/>
  <c r="S18"/>
  <c r="S19"/>
  <c r="S20"/>
  <c r="T14"/>
  <c r="U14"/>
  <c r="AB14"/>
  <c r="V15"/>
  <c r="T15"/>
  <c r="U15"/>
  <c r="AB15"/>
  <c r="V16"/>
  <c r="T16"/>
  <c r="U16"/>
  <c r="AB16"/>
  <c r="V17"/>
  <c r="T17"/>
  <c r="U17"/>
  <c r="AB17"/>
  <c r="V18"/>
  <c r="T18"/>
  <c r="U18"/>
  <c r="AB18"/>
  <c r="V19"/>
  <c r="T19"/>
  <c r="U19"/>
  <c r="AB19"/>
  <c r="AB20"/>
  <c r="X14"/>
  <c r="AA14"/>
  <c r="Y14"/>
  <c r="Z14"/>
  <c r="X15"/>
  <c r="AA15"/>
  <c r="Y15"/>
  <c r="Z15"/>
  <c r="X16"/>
  <c r="AA16"/>
  <c r="Y16"/>
  <c r="Z16"/>
  <c r="X17"/>
  <c r="AA17"/>
  <c r="Y17"/>
  <c r="Z17"/>
  <c r="X18"/>
  <c r="AA18"/>
  <c r="Y18"/>
  <c r="Z18"/>
  <c r="X19"/>
  <c r="AA19"/>
  <c r="AA20"/>
  <c r="U20"/>
  <c r="T20"/>
  <c r="F14"/>
  <c r="F15"/>
  <c r="F16"/>
  <c r="F17"/>
  <c r="F18"/>
  <c r="F19"/>
  <c r="P20"/>
  <c r="J20"/>
  <c r="F20"/>
  <c r="AM19"/>
  <c r="AN19"/>
  <c r="AK19"/>
  <c r="Y19"/>
  <c r="Z19"/>
  <c r="W19"/>
  <c r="O19"/>
  <c r="AK18"/>
  <c r="W18"/>
  <c r="AK17"/>
  <c r="W17"/>
  <c r="AK16"/>
  <c r="W16"/>
  <c r="AK15"/>
  <c r="W15"/>
  <c r="AK14"/>
  <c r="W14"/>
  <c r="AJ5"/>
  <c r="AE5"/>
  <c r="AG5"/>
  <c r="AE6"/>
  <c r="AG6"/>
  <c r="AE7"/>
  <c r="AG7"/>
  <c r="AE8"/>
  <c r="AG8"/>
  <c r="AE9"/>
  <c r="AG9"/>
  <c r="AE10"/>
  <c r="AG10"/>
  <c r="AG11"/>
  <c r="AH5"/>
  <c r="AI5"/>
  <c r="AP5"/>
  <c r="AJ6"/>
  <c r="AH6"/>
  <c r="AI6"/>
  <c r="AP6"/>
  <c r="AJ7"/>
  <c r="AH7"/>
  <c r="AI7"/>
  <c r="AP7"/>
  <c r="AJ8"/>
  <c r="AH8"/>
  <c r="AI8"/>
  <c r="AP8"/>
  <c r="AJ9"/>
  <c r="AH9"/>
  <c r="AI9"/>
  <c r="AP9"/>
  <c r="AJ10"/>
  <c r="AH10"/>
  <c r="AI10"/>
  <c r="AP10"/>
  <c r="AP11"/>
  <c r="AL5"/>
  <c r="AO5"/>
  <c r="AM5"/>
  <c r="AN5"/>
  <c r="AL6"/>
  <c r="AO6"/>
  <c r="AM6"/>
  <c r="AN6"/>
  <c r="AL7"/>
  <c r="AO7"/>
  <c r="AM7"/>
  <c r="AN7"/>
  <c r="AL8"/>
  <c r="AO8"/>
  <c r="AM8"/>
  <c r="AN8"/>
  <c r="AL9"/>
  <c r="AO9"/>
  <c r="AM9"/>
  <c r="AN9"/>
  <c r="AL10"/>
  <c r="AO10"/>
  <c r="AO11"/>
  <c r="AI11"/>
  <c r="AH11"/>
  <c r="V5"/>
  <c r="S5"/>
  <c r="S6"/>
  <c r="S7"/>
  <c r="S8"/>
  <c r="S9"/>
  <c r="S10"/>
  <c r="S11"/>
  <c r="T5"/>
  <c r="U5"/>
  <c r="AB5"/>
  <c r="V6"/>
  <c r="T6"/>
  <c r="U6"/>
  <c r="AB6"/>
  <c r="V7"/>
  <c r="T7"/>
  <c r="U7"/>
  <c r="AB7"/>
  <c r="V8"/>
  <c r="T8"/>
  <c r="U8"/>
  <c r="AB8"/>
  <c r="V9"/>
  <c r="T9"/>
  <c r="U9"/>
  <c r="AB9"/>
  <c r="V10"/>
  <c r="T10"/>
  <c r="U10"/>
  <c r="AB10"/>
  <c r="AB11"/>
  <c r="X5"/>
  <c r="AA5"/>
  <c r="Y5"/>
  <c r="Z5"/>
  <c r="X6"/>
  <c r="AA6"/>
  <c r="Y6"/>
  <c r="Z6"/>
  <c r="X7"/>
  <c r="AA7"/>
  <c r="Y7"/>
  <c r="Z7"/>
  <c r="X8"/>
  <c r="AA8"/>
  <c r="Y8"/>
  <c r="Z8"/>
  <c r="X9"/>
  <c r="AA9"/>
  <c r="Y9"/>
  <c r="Z9"/>
  <c r="X10"/>
  <c r="AA10"/>
  <c r="AA11"/>
  <c r="U11"/>
  <c r="T11"/>
  <c r="F5"/>
  <c r="F6"/>
  <c r="F7"/>
  <c r="F8"/>
  <c r="F9"/>
  <c r="F10"/>
  <c r="P11"/>
  <c r="J11"/>
  <c r="F11"/>
  <c r="AM10"/>
  <c r="AN10"/>
  <c r="AK10"/>
  <c r="Y10"/>
  <c r="Z10"/>
  <c r="W10"/>
  <c r="O10"/>
  <c r="AK9"/>
  <c r="W9"/>
  <c r="AK8"/>
  <c r="W8"/>
  <c r="AK7"/>
  <c r="W7"/>
  <c r="AK6"/>
  <c r="W6"/>
  <c r="AK5"/>
  <c r="W5"/>
</calcChain>
</file>

<file path=xl/sharedStrings.xml><?xml version="1.0" encoding="utf-8"?>
<sst xmlns="http://schemas.openxmlformats.org/spreadsheetml/2006/main" count="55" uniqueCount="35">
  <si>
    <t>wilt</t>
  </si>
  <si>
    <t>sat</t>
  </si>
  <si>
    <t>sfc</t>
  </si>
  <si>
    <t>rootgamma</t>
  </si>
  <si>
    <t>new Lai&amp;Ktaul case</t>
  </si>
  <si>
    <t>diff</t>
  </si>
  <si>
    <t>zse</t>
  </si>
  <si>
    <t>froot</t>
  </si>
  <si>
    <t>wb</t>
  </si>
  <si>
    <t>demand (evapfbl)</t>
  </si>
  <si>
    <t>supply</t>
  </si>
  <si>
    <t>canopy cal</t>
  </si>
  <si>
    <t>demand</t>
  </si>
  <si>
    <t>dem-sup</t>
  </si>
  <si>
    <t>new demand</t>
  </si>
  <si>
    <t>xxd</t>
  </si>
  <si>
    <t>rem_trans cal</t>
  </si>
  <si>
    <t>fextroot</t>
  </si>
  <si>
    <t>final fextroot</t>
  </si>
  <si>
    <t>new canopy = soilsnow</t>
  </si>
  <si>
    <t>without rem_trans</t>
  </si>
  <si>
    <t>dummy</t>
  </si>
  <si>
    <t>frwater</t>
  </si>
  <si>
    <t>normFac</t>
  </si>
  <si>
    <t>rootbeta</t>
  </si>
  <si>
    <t>sum</t>
  </si>
  <si>
    <t>initial demand = fevc in mm</t>
  </si>
  <si>
    <t>Shrubs</t>
  </si>
  <si>
    <t>Grass</t>
  </si>
  <si>
    <t>Trees</t>
  </si>
  <si>
    <t>Existing model - fwsoil_calc_std</t>
  </si>
  <si>
    <t>Within canopy module</t>
  </si>
  <si>
    <t>Within soilsnow module</t>
  </si>
  <si>
    <t>fudge factor</t>
  </si>
  <si>
    <t>new std case (removed fudge factor, introduced fextroot and the remove_trans mechanism into canopy module)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</si>
</sst>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5" xfId="0" applyFill="1" applyBorder="1"/>
    <xf numFmtId="0" fontId="0" fillId="2" borderId="0" xfId="0" applyFill="1"/>
    <xf numFmtId="0" fontId="0" fillId="3" borderId="0" xfId="0" applyFill="1"/>
    <xf numFmtId="0" fontId="0" fillId="0" borderId="6" xfId="0" applyBorder="1"/>
    <xf numFmtId="0" fontId="0" fillId="0" borderId="7" xfId="0" applyBorder="1"/>
    <xf numFmtId="0" fontId="0" fillId="4" borderId="0" xfId="0" applyFill="1"/>
    <xf numFmtId="0" fontId="0" fillId="0" borderId="9" xfId="0" applyBorder="1"/>
    <xf numFmtId="0" fontId="0" fillId="5" borderId="0" xfId="0" applyFill="1"/>
    <xf numFmtId="0" fontId="2" fillId="0" borderId="4" xfId="0" applyFont="1" applyBorder="1"/>
    <xf numFmtId="0" fontId="3" fillId="0" borderId="0" xfId="0" applyFont="1" applyBorder="1"/>
    <xf numFmtId="0" fontId="0" fillId="0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2" borderId="8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9"/>
  <sheetViews>
    <sheetView tabSelected="1" workbookViewId="0">
      <selection activeCell="V1" sqref="V1"/>
    </sheetView>
  </sheetViews>
  <sheetFormatPr defaultRowHeight="15"/>
  <sheetData>
    <row r="1" spans="1:42">
      <c r="A1" t="s">
        <v>26</v>
      </c>
      <c r="B1">
        <v>50</v>
      </c>
      <c r="E1" t="s">
        <v>0</v>
      </c>
      <c r="F1">
        <v>0.14099999999999999</v>
      </c>
      <c r="I1" t="s">
        <v>1</v>
      </c>
      <c r="J1">
        <v>0.4088</v>
      </c>
      <c r="M1" t="s">
        <v>2</v>
      </c>
      <c r="N1">
        <v>0.28000000000000003</v>
      </c>
      <c r="Q1" t="s">
        <v>3</v>
      </c>
      <c r="R1">
        <v>1E-3</v>
      </c>
      <c r="U1" t="s">
        <v>33</v>
      </c>
      <c r="V1">
        <v>1.1000000000000001</v>
      </c>
    </row>
    <row r="2" spans="1:42">
      <c r="F2" s="1" t="s">
        <v>30</v>
      </c>
      <c r="G2" s="2"/>
      <c r="H2" s="2"/>
      <c r="I2" s="2"/>
      <c r="J2" s="2"/>
      <c r="K2" s="2"/>
      <c r="L2" s="2"/>
      <c r="M2" s="2"/>
      <c r="N2" s="2"/>
      <c r="O2" s="2"/>
      <c r="P2" s="3"/>
      <c r="S2" s="4" t="s">
        <v>34</v>
      </c>
      <c r="AE2" s="4" t="s">
        <v>4</v>
      </c>
    </row>
    <row r="3" spans="1:42">
      <c r="F3" s="19" t="s">
        <v>31</v>
      </c>
      <c r="G3" s="6"/>
      <c r="H3" s="6"/>
      <c r="I3" s="6"/>
      <c r="J3" s="20" t="s">
        <v>32</v>
      </c>
      <c r="K3" s="20"/>
      <c r="L3" s="6"/>
      <c r="M3" s="6"/>
      <c r="N3" s="6"/>
      <c r="O3" s="6" t="s">
        <v>5</v>
      </c>
      <c r="P3" s="7"/>
      <c r="W3" s="6"/>
      <c r="X3" s="6"/>
      <c r="Y3" s="6"/>
      <c r="Z3" s="6" t="s">
        <v>5</v>
      </c>
      <c r="AN3" s="6" t="s">
        <v>5</v>
      </c>
    </row>
    <row r="4" spans="1:42">
      <c r="A4" t="s">
        <v>6</v>
      </c>
      <c r="C4" s="18" t="s">
        <v>27</v>
      </c>
      <c r="D4" t="s">
        <v>7</v>
      </c>
      <c r="E4" t="s">
        <v>8</v>
      </c>
      <c r="F4" s="5" t="s">
        <v>9</v>
      </c>
      <c r="G4" s="6" t="s">
        <v>10</v>
      </c>
      <c r="H4" s="6" t="s">
        <v>11</v>
      </c>
      <c r="I4" s="6"/>
      <c r="J4" s="6" t="s">
        <v>12</v>
      </c>
      <c r="K4" s="21" t="s">
        <v>10</v>
      </c>
      <c r="L4" s="6" t="s">
        <v>13</v>
      </c>
      <c r="M4" s="6" t="s">
        <v>14</v>
      </c>
      <c r="N4" s="6" t="s">
        <v>15</v>
      </c>
      <c r="O4" s="6">
        <v>0</v>
      </c>
      <c r="P4" s="7" t="s">
        <v>16</v>
      </c>
      <c r="S4" t="s">
        <v>17</v>
      </c>
      <c r="T4" t="s">
        <v>18</v>
      </c>
      <c r="U4" s="5" t="s">
        <v>9</v>
      </c>
      <c r="V4" t="s">
        <v>10</v>
      </c>
      <c r="W4" s="6" t="s">
        <v>13</v>
      </c>
      <c r="X4" s="6" t="s">
        <v>14</v>
      </c>
      <c r="Y4" s="6" t="s">
        <v>15</v>
      </c>
      <c r="Z4" s="6">
        <v>0</v>
      </c>
      <c r="AA4" t="s">
        <v>19</v>
      </c>
      <c r="AB4" t="s">
        <v>20</v>
      </c>
      <c r="AE4" t="s">
        <v>21</v>
      </c>
      <c r="AF4" t="s">
        <v>22</v>
      </c>
      <c r="AG4" t="s">
        <v>23</v>
      </c>
      <c r="AH4" t="s">
        <v>17</v>
      </c>
      <c r="AI4" s="5" t="s">
        <v>9</v>
      </c>
      <c r="AJ4" t="s">
        <v>10</v>
      </c>
      <c r="AK4" s="6" t="s">
        <v>13</v>
      </c>
      <c r="AL4" s="6" t="s">
        <v>14</v>
      </c>
      <c r="AM4" s="6" t="s">
        <v>15</v>
      </c>
      <c r="AN4" s="6">
        <v>0</v>
      </c>
      <c r="AO4" t="s">
        <v>19</v>
      </c>
      <c r="AP4" t="s">
        <v>20</v>
      </c>
    </row>
    <row r="5" spans="1:42">
      <c r="A5" s="5">
        <v>2.1999999999999999E-2</v>
      </c>
      <c r="D5">
        <v>8.3797541370851936E-2</v>
      </c>
      <c r="E5">
        <v>0.15</v>
      </c>
      <c r="F5" s="8">
        <f>B$1*D5</f>
        <v>4.1898770685425966</v>
      </c>
      <c r="G5" s="9">
        <f>MAX(0,(E5-V$1*F$1)*A5*1000)</f>
        <v>0</v>
      </c>
      <c r="H5" s="9">
        <f>MIN(G5,F5)</f>
        <v>0</v>
      </c>
      <c r="I5" s="6"/>
      <c r="J5" s="10">
        <f>H$11*D5</f>
        <v>1.9968353153378779</v>
      </c>
      <c r="K5" s="10">
        <f>(E5-F$1)*A5*1000</f>
        <v>0.19800000000000018</v>
      </c>
      <c r="L5" s="10">
        <f>J5-K5</f>
        <v>1.7988353153378778</v>
      </c>
      <c r="M5" s="10">
        <f>J5+O4</f>
        <v>1.9968353153378779</v>
      </c>
      <c r="N5" s="10">
        <f>M5-K5</f>
        <v>1.7988353153378778</v>
      </c>
      <c r="O5" s="10">
        <f>IF(N5&gt;0,N5,0)</f>
        <v>1.7988353153378778</v>
      </c>
      <c r="P5" s="11">
        <f>IF(N5&gt;0,K5,M5)</f>
        <v>0.19800000000000018</v>
      </c>
      <c r="S5" s="12">
        <f>D5*(E5-F$1)/(N$1-F$1)</f>
        <v>5.4257400887602007E-3</v>
      </c>
      <c r="T5" s="12">
        <f>S5/S$11</f>
        <v>1.2674599699299537E-2</v>
      </c>
      <c r="U5" s="12">
        <f>B$1*T5</f>
        <v>0.63372998496497679</v>
      </c>
      <c r="V5" s="12">
        <f>(E5-F$1)*A5*1000</f>
        <v>0.19800000000000018</v>
      </c>
      <c r="W5" s="10">
        <f>U5-V5</f>
        <v>0.43572998496497661</v>
      </c>
      <c r="X5" s="10">
        <f>U5+Z4</f>
        <v>0.63372998496497679</v>
      </c>
      <c r="Y5" s="10">
        <f>X5-V5</f>
        <v>0.43572998496497661</v>
      </c>
      <c r="Z5" s="10">
        <f>IF(Y5&gt;0,Y5,0)</f>
        <v>0.43572998496497661</v>
      </c>
      <c r="AA5" s="13">
        <f>MIN(V5,X5)</f>
        <v>0.19800000000000018</v>
      </c>
      <c r="AB5" s="12">
        <f>MIN(V5,U5)</f>
        <v>0.19800000000000018</v>
      </c>
      <c r="AE5" s="12">
        <f>R$1/(E5-F$1)</f>
        <v>0.11111111111111102</v>
      </c>
      <c r="AF5" s="12">
        <f>(R$1/AE5/J$1)^AE5</f>
        <v>0.65442377563382659</v>
      </c>
      <c r="AG5" s="12">
        <f>AF5*D5</f>
        <v>5.4839103412744707E-2</v>
      </c>
      <c r="AH5" s="12">
        <f>AG5/AG$11</f>
        <v>5.9717888508743766E-2</v>
      </c>
      <c r="AI5" s="12">
        <f>B$1*AH5</f>
        <v>2.9858944254371882</v>
      </c>
      <c r="AJ5" s="12">
        <f>(E5-F$1)*A5*1000</f>
        <v>0.19800000000000018</v>
      </c>
      <c r="AK5" s="10">
        <f>AI5-AJ5</f>
        <v>2.7878944254371882</v>
      </c>
      <c r="AL5" s="10">
        <f>AI5+AN4</f>
        <v>2.9858944254371882</v>
      </c>
      <c r="AM5" s="10">
        <f>AL5-AJ5</f>
        <v>2.7878944254371882</v>
      </c>
      <c r="AN5" s="10">
        <f>IF(AM5&gt;0,AM5,0)</f>
        <v>2.7878944254371882</v>
      </c>
      <c r="AO5" s="13">
        <f>MIN(AJ5,AL5)</f>
        <v>0.19800000000000018</v>
      </c>
      <c r="AP5" s="12">
        <f>MIN(AJ5,AI5)</f>
        <v>0.19800000000000018</v>
      </c>
    </row>
    <row r="6" spans="1:42">
      <c r="A6" s="5">
        <v>5.8000000000000003E-2</v>
      </c>
      <c r="C6" s="14" t="s">
        <v>24</v>
      </c>
      <c r="D6">
        <v>0.18877933688196313</v>
      </c>
      <c r="E6">
        <v>0.16</v>
      </c>
      <c r="F6" s="8">
        <f t="shared" ref="F6:F28" si="0">B$1*D6</f>
        <v>9.4389668440981573</v>
      </c>
      <c r="G6" s="9">
        <f t="shared" ref="G6:G10" si="1">MAX(0,(E6-V$1*F$1)*A6*1000)</f>
        <v>0.2842000000000009</v>
      </c>
      <c r="H6" s="9">
        <f t="shared" ref="H6:H10" si="2">MIN(G6,F6)</f>
        <v>0.2842000000000009</v>
      </c>
      <c r="I6" s="6"/>
      <c r="J6" s="10">
        <f t="shared" ref="J6:J10" si="3">H$11*D6</f>
        <v>4.4984762145192505</v>
      </c>
      <c r="K6" s="10">
        <f t="shared" ref="K6:K10" si="4">(E6-F$1)*A6*1000</f>
        <v>1.102000000000001</v>
      </c>
      <c r="L6" s="10">
        <f t="shared" ref="L6:L10" si="5">J6-K6</f>
        <v>3.3964762145192493</v>
      </c>
      <c r="M6" s="10">
        <f>J6+O5</f>
        <v>6.2973115298571285</v>
      </c>
      <c r="N6" s="10">
        <f t="shared" ref="N6:N10" si="6">M6-K6</f>
        <v>5.1953115298571273</v>
      </c>
      <c r="O6" s="10">
        <f t="shared" ref="O6:O10" si="7">IF(N6&gt;0,N6,0)</f>
        <v>5.1953115298571273</v>
      </c>
      <c r="P6" s="11">
        <f t="shared" ref="P6:P10" si="8">IF(N6&gt;0,K6,M6)</f>
        <v>1.102000000000001</v>
      </c>
      <c r="S6" s="12">
        <f>D6*(E6-F$1)/(N$1-F$1)</f>
        <v>2.5804369789620876E-2</v>
      </c>
      <c r="T6" s="12">
        <f t="shared" ref="T6:T9" si="9">S6/S$11</f>
        <v>6.027934479457845E-2</v>
      </c>
      <c r="U6" s="12">
        <f>B$1*T6</f>
        <v>3.0139672397289226</v>
      </c>
      <c r="V6" s="12">
        <f t="shared" ref="V6:V10" si="10">(E6-F$1)*A6*1000</f>
        <v>1.102000000000001</v>
      </c>
      <c r="W6" s="10">
        <f t="shared" ref="W6:W10" si="11">U6-V6</f>
        <v>1.9119672397289216</v>
      </c>
      <c r="X6" s="10">
        <f t="shared" ref="X6:X10" si="12">U6+Z5</f>
        <v>3.4496972246938991</v>
      </c>
      <c r="Y6" s="10">
        <f t="shared" ref="Y6:Y10" si="13">X6-V6</f>
        <v>2.3476972246938983</v>
      </c>
      <c r="Z6" s="10">
        <f t="shared" ref="Z6:Z10" si="14">IF(Y6&gt;0,Y6,0)</f>
        <v>2.3476972246938983</v>
      </c>
      <c r="AA6" s="13">
        <f t="shared" ref="AA6:AA10" si="15">MIN(V6,X6)</f>
        <v>1.102000000000001</v>
      </c>
      <c r="AB6" s="12">
        <f t="shared" ref="AB6:AB10" si="16">MIN(V6,U6)</f>
        <v>1.102000000000001</v>
      </c>
      <c r="AE6" s="12">
        <f>R$1/(E6-F$1)</f>
        <v>5.2631578947368376E-2</v>
      </c>
      <c r="AF6" s="12">
        <f t="shared" ref="AF6:AF10" si="17">(R$1/AE6/J$1)^AE6</f>
        <v>0.85085367632506947</v>
      </c>
      <c r="AG6" s="12">
        <f>AF6*D6</f>
        <v>0.16062359280022712</v>
      </c>
      <c r="AH6" s="12">
        <f t="shared" ref="AH6:AH10" si="18">AG6/AG$11</f>
        <v>0.17491354179376681</v>
      </c>
      <c r="AI6" s="12">
        <f>B$1*AH6</f>
        <v>8.7456770896883409</v>
      </c>
      <c r="AJ6" s="12">
        <f t="shared" ref="AJ6:AJ10" si="19">(E6-F$1)*A6*1000</f>
        <v>1.102000000000001</v>
      </c>
      <c r="AK6" s="10">
        <f t="shared" ref="AK6:AK10" si="20">AI6-AJ6</f>
        <v>7.6436770896883397</v>
      </c>
      <c r="AL6" s="10">
        <f t="shared" ref="AL6:AL10" si="21">AI6+AN5</f>
        <v>11.53357151512553</v>
      </c>
      <c r="AM6" s="10">
        <f t="shared" ref="AM6:AM10" si="22">AL6-AJ6</f>
        <v>10.43157151512553</v>
      </c>
      <c r="AN6" s="10">
        <f t="shared" ref="AN6:AN10" si="23">IF(AM6&gt;0,AM6,0)</f>
        <v>10.43157151512553</v>
      </c>
      <c r="AO6" s="13">
        <f t="shared" ref="AO6:AO10" si="24">MIN(AJ6,AL6)</f>
        <v>1.102000000000001</v>
      </c>
      <c r="AP6" s="12">
        <f t="shared" ref="AP6:AP10" si="25">MIN(AJ6,AI6)</f>
        <v>1.102000000000001</v>
      </c>
    </row>
    <row r="7" spans="1:42">
      <c r="A7" s="5">
        <v>0.154</v>
      </c>
      <c r="C7" s="15">
        <v>0.96099999999999997</v>
      </c>
      <c r="D7">
        <v>0.33321345348480302</v>
      </c>
      <c r="E7">
        <v>0.18</v>
      </c>
      <c r="F7" s="8">
        <f t="shared" si="0"/>
        <v>16.66067267424015</v>
      </c>
      <c r="G7" s="9">
        <f t="shared" si="1"/>
        <v>3.8346000000000009</v>
      </c>
      <c r="H7" s="9">
        <f t="shared" si="2"/>
        <v>3.8346000000000009</v>
      </c>
      <c r="I7" s="6"/>
      <c r="J7" s="10">
        <f t="shared" si="3"/>
        <v>7.9402376320266663</v>
      </c>
      <c r="K7" s="10">
        <f t="shared" si="4"/>
        <v>6.0060000000000011</v>
      </c>
      <c r="L7" s="10">
        <f t="shared" si="5"/>
        <v>1.9342376320266652</v>
      </c>
      <c r="M7" s="10">
        <f>J7+O6</f>
        <v>13.135549161883795</v>
      </c>
      <c r="N7" s="10">
        <f t="shared" si="6"/>
        <v>7.1295491618837934</v>
      </c>
      <c r="O7" s="10">
        <f t="shared" si="7"/>
        <v>7.1295491618837934</v>
      </c>
      <c r="P7" s="11">
        <f t="shared" si="8"/>
        <v>6.0060000000000011</v>
      </c>
      <c r="S7" s="12">
        <f>D7*(E7-F$1)/(N$1-F$1)</f>
        <v>9.3491544502930332E-2</v>
      </c>
      <c r="T7" s="12">
        <f t="shared" si="9"/>
        <v>0.21839746881695157</v>
      </c>
      <c r="U7" s="12">
        <f>B$1*T7</f>
        <v>10.919873440847578</v>
      </c>
      <c r="V7" s="12">
        <f t="shared" si="10"/>
        <v>6.0060000000000011</v>
      </c>
      <c r="W7" s="10">
        <f t="shared" si="11"/>
        <v>4.9138734408475768</v>
      </c>
      <c r="X7" s="10">
        <f t="shared" si="12"/>
        <v>13.267570665541477</v>
      </c>
      <c r="Y7" s="10">
        <f t="shared" si="13"/>
        <v>7.261570665541476</v>
      </c>
      <c r="Z7" s="10">
        <f t="shared" si="14"/>
        <v>7.261570665541476</v>
      </c>
      <c r="AA7" s="13">
        <f t="shared" si="15"/>
        <v>6.0060000000000011</v>
      </c>
      <c r="AB7" s="12">
        <f t="shared" si="16"/>
        <v>6.0060000000000011</v>
      </c>
      <c r="AE7" s="12">
        <f>R$1/(E7-F$1)</f>
        <v>2.5641025641025637E-2</v>
      </c>
      <c r="AF7" s="12">
        <f t="shared" si="17"/>
        <v>0.94153118859131402</v>
      </c>
      <c r="AG7" s="12">
        <f>AF7*D7</f>
        <v>0.31373085891416314</v>
      </c>
      <c r="AH7" s="12">
        <f t="shared" si="18"/>
        <v>0.34164206357236482</v>
      </c>
      <c r="AI7" s="12">
        <f>B$1*AH7</f>
        <v>17.08210317861824</v>
      </c>
      <c r="AJ7" s="12">
        <f t="shared" si="19"/>
        <v>6.0060000000000011</v>
      </c>
      <c r="AK7" s="10">
        <f t="shared" si="20"/>
        <v>11.07610317861824</v>
      </c>
      <c r="AL7" s="10">
        <f t="shared" si="21"/>
        <v>27.51367469374377</v>
      </c>
      <c r="AM7" s="10">
        <f t="shared" si="22"/>
        <v>21.50767469374377</v>
      </c>
      <c r="AN7" s="10">
        <f t="shared" si="23"/>
        <v>21.50767469374377</v>
      </c>
      <c r="AO7" s="13">
        <f t="shared" si="24"/>
        <v>6.0060000000000011</v>
      </c>
      <c r="AP7" s="12">
        <f t="shared" si="25"/>
        <v>6.0060000000000011</v>
      </c>
    </row>
    <row r="8" spans="1:42">
      <c r="A8" s="5">
        <v>0.40899999999999997</v>
      </c>
      <c r="D8">
        <v>0.31674318744492924</v>
      </c>
      <c r="E8">
        <v>0.24</v>
      </c>
      <c r="F8" s="8">
        <f t="shared" si="0"/>
        <v>15.837159372246463</v>
      </c>
      <c r="G8" s="9">
        <f t="shared" si="1"/>
        <v>34.7241</v>
      </c>
      <c r="H8" s="9">
        <f t="shared" si="2"/>
        <v>15.837159372246463</v>
      </c>
      <c r="I8" s="6"/>
      <c r="J8" s="10">
        <f t="shared" si="3"/>
        <v>7.5477630039718866</v>
      </c>
      <c r="K8" s="10">
        <f t="shared" si="4"/>
        <v>40.491</v>
      </c>
      <c r="L8" s="10">
        <f t="shared" si="5"/>
        <v>-32.943236996028112</v>
      </c>
      <c r="M8" s="10">
        <f>J8+O7</f>
        <v>14.67731216585568</v>
      </c>
      <c r="N8" s="10">
        <f t="shared" si="6"/>
        <v>-25.813687834144318</v>
      </c>
      <c r="O8" s="10">
        <f t="shared" si="7"/>
        <v>0</v>
      </c>
      <c r="P8" s="11">
        <f t="shared" si="8"/>
        <v>14.67731216585568</v>
      </c>
      <c r="S8" s="12">
        <f>D8*(E8-F$1)/(N$1-F$1)</f>
        <v>0.22559406875574092</v>
      </c>
      <c r="T8" s="12">
        <f t="shared" si="9"/>
        <v>0.52699069053059555</v>
      </c>
      <c r="U8" s="12">
        <f>B$1*T8</f>
        <v>26.349534526529776</v>
      </c>
      <c r="V8" s="12">
        <f t="shared" si="10"/>
        <v>40.491</v>
      </c>
      <c r="W8" s="10">
        <f t="shared" si="11"/>
        <v>-14.141465473470223</v>
      </c>
      <c r="X8" s="10">
        <f t="shared" si="12"/>
        <v>33.61110519207125</v>
      </c>
      <c r="Y8" s="10">
        <f t="shared" si="13"/>
        <v>-6.8798948079287499</v>
      </c>
      <c r="Z8" s="10">
        <f t="shared" si="14"/>
        <v>0</v>
      </c>
      <c r="AA8" s="13">
        <f t="shared" si="15"/>
        <v>33.61110519207125</v>
      </c>
      <c r="AB8" s="12">
        <f t="shared" si="16"/>
        <v>26.349534526529776</v>
      </c>
      <c r="AE8" s="12">
        <f>R$1/(E8-F$1)</f>
        <v>1.01010101010101E-2</v>
      </c>
      <c r="AF8" s="12">
        <f t="shared" si="17"/>
        <v>0.98577779981112901</v>
      </c>
      <c r="AG8" s="12">
        <f>AF8*D8</f>
        <v>0.31223840242462636</v>
      </c>
      <c r="AH8" s="12">
        <f t="shared" si="18"/>
        <v>0.34001683003097188</v>
      </c>
      <c r="AI8" s="12">
        <f>B$1*AH8</f>
        <v>17.000841501548596</v>
      </c>
      <c r="AJ8" s="12">
        <f t="shared" si="19"/>
        <v>40.491</v>
      </c>
      <c r="AK8" s="10">
        <f t="shared" si="20"/>
        <v>-23.490158498451404</v>
      </c>
      <c r="AL8" s="10">
        <f t="shared" si="21"/>
        <v>38.508516195292366</v>
      </c>
      <c r="AM8" s="10">
        <f t="shared" si="22"/>
        <v>-1.9824838047076341</v>
      </c>
      <c r="AN8" s="10">
        <f t="shared" si="23"/>
        <v>0</v>
      </c>
      <c r="AO8" s="13">
        <f t="shared" si="24"/>
        <v>38.508516195292366</v>
      </c>
      <c r="AP8" s="12">
        <f t="shared" si="25"/>
        <v>17.000841501548596</v>
      </c>
    </row>
    <row r="9" spans="1:42">
      <c r="A9" s="5">
        <v>1.085</v>
      </c>
      <c r="D9">
        <v>7.6432288305079643E-2</v>
      </c>
      <c r="E9">
        <v>0.28000000000000003</v>
      </c>
      <c r="F9" s="8">
        <f t="shared" si="0"/>
        <v>3.8216144152539822</v>
      </c>
      <c r="G9" s="9">
        <f t="shared" si="1"/>
        <v>135.51650000000004</v>
      </c>
      <c r="H9" s="9">
        <f t="shared" si="2"/>
        <v>3.8216144152539822</v>
      </c>
      <c r="I9" s="6"/>
      <c r="J9" s="10">
        <f t="shared" si="3"/>
        <v>1.8213266167825475</v>
      </c>
      <c r="K9" s="10">
        <f t="shared" si="4"/>
        <v>150.81500000000003</v>
      </c>
      <c r="L9" s="10">
        <f t="shared" si="5"/>
        <v>-148.99367338321747</v>
      </c>
      <c r="M9" s="10">
        <f>J9+O8</f>
        <v>1.8213266167825475</v>
      </c>
      <c r="N9" s="10">
        <f t="shared" si="6"/>
        <v>-148.99367338321747</v>
      </c>
      <c r="O9" s="10">
        <f t="shared" si="7"/>
        <v>0</v>
      </c>
      <c r="P9" s="11">
        <f t="shared" si="8"/>
        <v>1.8213266167825475</v>
      </c>
      <c r="S9" s="12">
        <f>D9*(E9-F$1)/(N$1-F$1)</f>
        <v>7.6432288305079643E-2</v>
      </c>
      <c r="T9" s="12">
        <f t="shared" si="9"/>
        <v>0.17854682357069931</v>
      </c>
      <c r="U9" s="12">
        <f>B$1*T9</f>
        <v>8.9273411785349666</v>
      </c>
      <c r="V9" s="12">
        <f t="shared" si="10"/>
        <v>150.81500000000003</v>
      </c>
      <c r="W9" s="10">
        <f t="shared" si="11"/>
        <v>-141.88765882146507</v>
      </c>
      <c r="X9" s="10">
        <f t="shared" si="12"/>
        <v>8.9273411785349666</v>
      </c>
      <c r="Y9" s="10">
        <f t="shared" si="13"/>
        <v>-141.88765882146507</v>
      </c>
      <c r="Z9" s="10">
        <f t="shared" si="14"/>
        <v>0</v>
      </c>
      <c r="AA9" s="13">
        <f t="shared" si="15"/>
        <v>8.9273411785349666</v>
      </c>
      <c r="AB9" s="12">
        <f t="shared" si="16"/>
        <v>8.9273411785349666</v>
      </c>
      <c r="AE9" s="12">
        <f>R$1/(E9-F$1)</f>
        <v>7.1942446043165445E-3</v>
      </c>
      <c r="AF9" s="12">
        <f t="shared" si="17"/>
        <v>0.99226923078784435</v>
      </c>
      <c r="AG9" s="12">
        <f>AF9*D9</f>
        <v>7.5841407923836132E-2</v>
      </c>
      <c r="AH9" s="12">
        <f t="shared" si="18"/>
        <v>8.2588672332108801E-2</v>
      </c>
      <c r="AI9" s="12">
        <f>B$1*AH9</f>
        <v>4.1294336166054402</v>
      </c>
      <c r="AJ9" s="12">
        <f t="shared" si="19"/>
        <v>150.81500000000003</v>
      </c>
      <c r="AK9" s="10">
        <f t="shared" si="20"/>
        <v>-146.68556638339459</v>
      </c>
      <c r="AL9" s="10">
        <f t="shared" si="21"/>
        <v>4.1294336166054402</v>
      </c>
      <c r="AM9" s="10">
        <f t="shared" si="22"/>
        <v>-146.68556638339459</v>
      </c>
      <c r="AN9" s="10">
        <f t="shared" si="23"/>
        <v>0</v>
      </c>
      <c r="AO9" s="13">
        <f t="shared" si="24"/>
        <v>4.1294336166054402</v>
      </c>
      <c r="AP9" s="12">
        <f t="shared" si="25"/>
        <v>4.1294336166054402</v>
      </c>
    </row>
    <row r="10" spans="1:42">
      <c r="A10" s="5">
        <v>2.8719999999999999</v>
      </c>
      <c r="D10">
        <v>1.034181220699093E-3</v>
      </c>
      <c r="E10">
        <v>0.32</v>
      </c>
      <c r="F10" s="8">
        <f t="shared" si="0"/>
        <v>5.1709061034954651E-2</v>
      </c>
      <c r="G10" s="9">
        <f t="shared" si="1"/>
        <v>473.59280000000001</v>
      </c>
      <c r="H10" s="9">
        <f t="shared" si="2"/>
        <v>5.1709061034954651E-2</v>
      </c>
      <c r="I10" s="6"/>
      <c r="J10" s="10">
        <f t="shared" si="3"/>
        <v>2.4643796824682304E-2</v>
      </c>
      <c r="K10" s="10">
        <f t="shared" si="4"/>
        <v>514.08799999999997</v>
      </c>
      <c r="L10" s="10">
        <f t="shared" si="5"/>
        <v>-514.06335620317532</v>
      </c>
      <c r="M10" s="10">
        <f>J10+O9</f>
        <v>2.4643796824682304E-2</v>
      </c>
      <c r="N10" s="10">
        <f t="shared" si="6"/>
        <v>-514.06335620317532</v>
      </c>
      <c r="O10" s="10">
        <f t="shared" si="7"/>
        <v>0</v>
      </c>
      <c r="P10" s="11">
        <f t="shared" si="8"/>
        <v>2.4643796824682304E-2</v>
      </c>
      <c r="S10" s="12">
        <f>D10*(E10-F$1)/(N$1-F$1)</f>
        <v>1.3317873273750909E-3</v>
      </c>
      <c r="T10" s="12">
        <f>S10/S$11</f>
        <v>3.1110725878755402E-3</v>
      </c>
      <c r="U10" s="12">
        <f>B$1*T10</f>
        <v>0.15555362939377701</v>
      </c>
      <c r="V10" s="12">
        <f t="shared" si="10"/>
        <v>514.08799999999997</v>
      </c>
      <c r="W10" s="10">
        <f t="shared" si="11"/>
        <v>-513.93244637060616</v>
      </c>
      <c r="X10" s="10">
        <f t="shared" si="12"/>
        <v>0.15555362939377701</v>
      </c>
      <c r="Y10" s="10">
        <f t="shared" si="13"/>
        <v>-513.93244637060616</v>
      </c>
      <c r="Z10" s="10">
        <f t="shared" si="14"/>
        <v>0</v>
      </c>
      <c r="AA10" s="13">
        <f t="shared" si="15"/>
        <v>0.15555362939377701</v>
      </c>
      <c r="AB10" s="12">
        <f t="shared" si="16"/>
        <v>0.15555362939377701</v>
      </c>
      <c r="AE10" s="12">
        <f>R$1/(E10-F$1)</f>
        <v>5.586592178770949E-3</v>
      </c>
      <c r="AF10" s="12">
        <f t="shared" si="17"/>
        <v>0.99539699386749236</v>
      </c>
      <c r="AG10" s="12">
        <f>AF10*D10</f>
        <v>1.0294208781980909E-3</v>
      </c>
      <c r="AH10" s="12">
        <f t="shared" si="18"/>
        <v>1.1210037620439984E-3</v>
      </c>
      <c r="AI10" s="12">
        <f>B$1*AH10</f>
        <v>5.6050188102199923E-2</v>
      </c>
      <c r="AJ10" s="12">
        <f t="shared" si="19"/>
        <v>514.08799999999997</v>
      </c>
      <c r="AK10" s="10">
        <f t="shared" si="20"/>
        <v>-514.03194981189779</v>
      </c>
      <c r="AL10" s="10">
        <f t="shared" si="21"/>
        <v>5.6050188102199923E-2</v>
      </c>
      <c r="AM10" s="10">
        <f t="shared" si="22"/>
        <v>-514.03194981189779</v>
      </c>
      <c r="AN10" s="10">
        <f t="shared" si="23"/>
        <v>0</v>
      </c>
      <c r="AO10" s="13">
        <f t="shared" si="24"/>
        <v>5.6050188102199923E-2</v>
      </c>
      <c r="AP10" s="12">
        <f t="shared" si="25"/>
        <v>5.6050188102199923E-2</v>
      </c>
    </row>
    <row r="11" spans="1:42">
      <c r="C11" t="s">
        <v>25</v>
      </c>
      <c r="F11" s="8">
        <f>SUM(F5:F10)</f>
        <v>49.999999435416306</v>
      </c>
      <c r="G11" s="9"/>
      <c r="H11" s="9">
        <f>SUM(H5:H10)</f>
        <v>23.829282848535403</v>
      </c>
      <c r="I11" s="6"/>
      <c r="J11" s="10">
        <f>SUM(J5:J10)</f>
        <v>23.829282579462912</v>
      </c>
      <c r="K11" s="10"/>
      <c r="L11" s="10"/>
      <c r="M11" s="10"/>
      <c r="N11" s="10"/>
      <c r="O11" s="10"/>
      <c r="P11" s="11">
        <f>SUM(P5:P10)</f>
        <v>23.829282579462912</v>
      </c>
      <c r="S11" s="12">
        <f>SUM(S5:S10)</f>
        <v>0.42807979876950708</v>
      </c>
      <c r="T11" s="12">
        <f>SUM(T5:T10)</f>
        <v>1</v>
      </c>
      <c r="U11" s="12">
        <f>SUM(U5:U10)</f>
        <v>50</v>
      </c>
      <c r="V11" s="12"/>
      <c r="W11" s="13"/>
      <c r="X11" s="13"/>
      <c r="Y11" s="13"/>
      <c r="Z11" s="13"/>
      <c r="AA11" s="13">
        <f>SUM(AA5:AA10)</f>
        <v>50</v>
      </c>
      <c r="AB11" s="12">
        <f>SUM(AB5:AB10)</f>
        <v>42.738429334458523</v>
      </c>
      <c r="AE11" s="12"/>
      <c r="AF11" s="12"/>
      <c r="AG11" s="12">
        <f>SUM(AG5:AG10)</f>
        <v>0.91830278635379547</v>
      </c>
      <c r="AH11" s="12">
        <f>SUM(AH5:AH10)</f>
        <v>1</v>
      </c>
      <c r="AI11" s="12">
        <f>SUM(AI5:AI10)</f>
        <v>50.000000000000007</v>
      </c>
      <c r="AJ11" s="12"/>
      <c r="AK11" s="13"/>
      <c r="AL11" s="13"/>
      <c r="AM11" s="13"/>
      <c r="AN11" s="13"/>
      <c r="AO11" s="13">
        <f>SUM(AO5:AO10)</f>
        <v>50.000000000000007</v>
      </c>
      <c r="AP11" s="12">
        <f>SUM(AP5:AP10)</f>
        <v>28.492325306256237</v>
      </c>
    </row>
    <row r="12" spans="1:42">
      <c r="F12" s="5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1:42">
      <c r="C13" s="18" t="s">
        <v>28</v>
      </c>
      <c r="F13" s="5"/>
      <c r="G13" s="6"/>
      <c r="H13" s="6"/>
      <c r="I13" s="6"/>
      <c r="J13" s="6"/>
      <c r="K13" s="6"/>
      <c r="L13" s="6"/>
      <c r="M13" s="6"/>
      <c r="N13" s="6"/>
      <c r="O13" s="6">
        <v>0</v>
      </c>
      <c r="P13" s="7"/>
      <c r="Z13">
        <v>0</v>
      </c>
      <c r="AN13">
        <v>0</v>
      </c>
    </row>
    <row r="14" spans="1:42">
      <c r="A14" s="5">
        <v>2.1999999999999999E-2</v>
      </c>
      <c r="D14">
        <v>0.78236235917596897</v>
      </c>
      <c r="E14">
        <v>0.15</v>
      </c>
      <c r="F14" s="8">
        <f t="shared" si="0"/>
        <v>39.11811795879845</v>
      </c>
      <c r="G14" s="9">
        <f>MAX(0,(E14-V$1*F$1)*A14*1000)</f>
        <v>0</v>
      </c>
      <c r="H14" s="9">
        <f t="shared" ref="H14:H19" si="26">MIN(G14,F14)</f>
        <v>0</v>
      </c>
      <c r="I14" s="6"/>
      <c r="J14" s="10">
        <f>H$20*D14</f>
        <v>0.3751525307543675</v>
      </c>
      <c r="K14" s="10">
        <f>(E14-F$1)*A14*1000</f>
        <v>0.19800000000000018</v>
      </c>
      <c r="L14" s="10">
        <f>J14-K14</f>
        <v>0.17715253075436732</v>
      </c>
      <c r="M14" s="10">
        <f>J14+O13</f>
        <v>0.3751525307543675</v>
      </c>
      <c r="N14" s="10">
        <f>M14-K14</f>
        <v>0.17715253075436732</v>
      </c>
      <c r="O14" s="10">
        <f>IF(N14&gt;0,N14,0)</f>
        <v>0.17715253075436732</v>
      </c>
      <c r="P14" s="11">
        <f>IF(N14&gt;0,K14,M14)</f>
        <v>0.19800000000000018</v>
      </c>
      <c r="S14" s="12">
        <f>D14*(E14-F$1)/(N$1-F$1)</f>
        <v>5.0656555630098736E-2</v>
      </c>
      <c r="T14" s="12">
        <f>S14/S$20</f>
        <v>0.62563925187059677</v>
      </c>
      <c r="U14" s="12">
        <f>B$1*T14</f>
        <v>31.281962593529837</v>
      </c>
      <c r="V14" s="12">
        <f>(E14-F$1)*A14*1000</f>
        <v>0.19800000000000018</v>
      </c>
      <c r="W14" s="10">
        <f>U14-V14</f>
        <v>31.083962593529836</v>
      </c>
      <c r="X14" s="10">
        <f>U14+Z13</f>
        <v>31.281962593529837</v>
      </c>
      <c r="Y14" s="10">
        <f>X14-V14</f>
        <v>31.083962593529836</v>
      </c>
      <c r="Z14" s="10">
        <f>IF(Y14&gt;0,Y14,0)</f>
        <v>31.083962593529836</v>
      </c>
      <c r="AA14" s="13">
        <f>MIN(V14,X14)</f>
        <v>0.19800000000000018</v>
      </c>
      <c r="AB14" s="12">
        <f>MIN(V14,U14)</f>
        <v>0.19800000000000018</v>
      </c>
      <c r="AE14" s="12">
        <f>R$1/(E14-F$1)</f>
        <v>0.11111111111111102</v>
      </c>
      <c r="AF14" s="12">
        <f>(R$1/AE14/J$1)^AE14</f>
        <v>0.65442377563382659</v>
      </c>
      <c r="AG14" s="12">
        <f>AF14*D14</f>
        <v>0.51199652900572556</v>
      </c>
      <c r="AH14" s="12">
        <f>AG14/AG$20</f>
        <v>0.7340151805105275</v>
      </c>
      <c r="AI14" s="12">
        <f>B$1*AH14</f>
        <v>36.700759025526374</v>
      </c>
      <c r="AJ14" s="12">
        <f>(E14-F$1)*A14*1000</f>
        <v>0.19800000000000018</v>
      </c>
      <c r="AK14" s="10">
        <f>AI14-AJ14</f>
        <v>36.502759025526373</v>
      </c>
      <c r="AL14" s="10">
        <f>AI14+AN13</f>
        <v>36.700759025526374</v>
      </c>
      <c r="AM14" s="10">
        <f>AL14-AJ14</f>
        <v>36.502759025526373</v>
      </c>
      <c r="AN14" s="10">
        <f>IF(AM14&gt;0,AM14,0)</f>
        <v>36.502759025526373</v>
      </c>
      <c r="AO14" s="13">
        <f>MIN(AJ14,AL14)</f>
        <v>0.19800000000000018</v>
      </c>
      <c r="AP14" s="12">
        <f>MIN(AJ14,AI14)</f>
        <v>0.19800000000000018</v>
      </c>
    </row>
    <row r="15" spans="1:42">
      <c r="A15" s="5">
        <v>5.8000000000000003E-2</v>
      </c>
      <c r="C15" s="14" t="s">
        <v>24</v>
      </c>
      <c r="D15">
        <v>0.21373139082403103</v>
      </c>
      <c r="E15">
        <v>0.16</v>
      </c>
      <c r="F15" s="8">
        <f t="shared" si="0"/>
        <v>10.686569541201552</v>
      </c>
      <c r="G15" s="9">
        <f t="shared" ref="G15:G19" si="27">MAX(0,(E15-V$1*F$1)*A15*1000)</f>
        <v>0.2842000000000009</v>
      </c>
      <c r="H15" s="9">
        <f t="shared" si="26"/>
        <v>0.2842000000000009</v>
      </c>
      <c r="I15" s="6"/>
      <c r="J15" s="10">
        <f t="shared" ref="J15:J19" si="28">H$20*D15</f>
        <v>0.10248687354250838</v>
      </c>
      <c r="K15" s="10">
        <f t="shared" ref="K15:K19" si="29">(E15-F$1)*A15*1000</f>
        <v>1.102000000000001</v>
      </c>
      <c r="L15" s="10">
        <f t="shared" ref="L15:L19" si="30">J15-K15</f>
        <v>-0.99951312645749257</v>
      </c>
      <c r="M15" s="10">
        <f>J15+O14</f>
        <v>0.27963940429687573</v>
      </c>
      <c r="N15" s="10">
        <f t="shared" ref="N15:N19" si="31">M15-K15</f>
        <v>-0.82236059570312525</v>
      </c>
      <c r="O15" s="10">
        <f t="shared" ref="O15:O19" si="32">IF(N15&gt;0,N15,0)</f>
        <v>0</v>
      </c>
      <c r="P15" s="11">
        <f t="shared" ref="P15:P19" si="33">IF(N15&gt;0,K15,M15)</f>
        <v>0.27963940429687573</v>
      </c>
      <c r="S15" s="12">
        <f>D15*(E15-F$1)/(N$1-F$1)</f>
        <v>2.9215082198968286E-2</v>
      </c>
      <c r="T15" s="12">
        <f t="shared" ref="T15:T19" si="34">S15/S$20</f>
        <v>0.3608240225365848</v>
      </c>
      <c r="U15" s="12">
        <f>B$1*T15</f>
        <v>18.04120112682924</v>
      </c>
      <c r="V15" s="12">
        <f t="shared" ref="V15:V19" si="35">(E15-F$1)*A15*1000</f>
        <v>1.102000000000001</v>
      </c>
      <c r="W15" s="10">
        <f t="shared" ref="W15:W19" si="36">U15-V15</f>
        <v>16.939201126829239</v>
      </c>
      <c r="X15" s="10">
        <f t="shared" ref="X15:X19" si="37">U15+Z14</f>
        <v>49.125163720359076</v>
      </c>
      <c r="Y15" s="10">
        <f t="shared" ref="Y15:Y19" si="38">X15-V15</f>
        <v>48.023163720359072</v>
      </c>
      <c r="Z15" s="10">
        <f t="shared" ref="Z15:Z19" si="39">IF(Y15&gt;0,Y15,0)</f>
        <v>48.023163720359072</v>
      </c>
      <c r="AA15" s="13">
        <f t="shared" ref="AA15:AA19" si="40">MIN(V15,X15)</f>
        <v>1.102000000000001</v>
      </c>
      <c r="AB15" s="12">
        <f t="shared" ref="AB15:AB19" si="41">MIN(V15,U15)</f>
        <v>1.102000000000001</v>
      </c>
      <c r="AE15" s="12">
        <f>R$1/(E15-F$1)</f>
        <v>5.2631578947368376E-2</v>
      </c>
      <c r="AF15" s="12">
        <f t="shared" ref="AF15:AF19" si="42">(R$1/AE15/J$1)^AE15</f>
        <v>0.85085367632506947</v>
      </c>
      <c r="AG15" s="12">
        <f>AF15*D15</f>
        <v>0.18185413962869701</v>
      </c>
      <c r="AH15" s="12">
        <f t="shared" ref="AH15:AH19" si="43">AG15/AG$20</f>
        <v>0.26071211729767796</v>
      </c>
      <c r="AI15" s="12">
        <f>B$1*AH15</f>
        <v>13.035605864883898</v>
      </c>
      <c r="AJ15" s="12">
        <f t="shared" ref="AJ15:AJ19" si="44">(E15-F$1)*A15*1000</f>
        <v>1.102000000000001</v>
      </c>
      <c r="AK15" s="10">
        <f t="shared" ref="AK15:AK19" si="45">AI15-AJ15</f>
        <v>11.933605864883898</v>
      </c>
      <c r="AL15" s="10">
        <f t="shared" ref="AL15:AL19" si="46">AI15+AN14</f>
        <v>49.538364890410271</v>
      </c>
      <c r="AM15" s="10">
        <f t="shared" ref="AM15:AM19" si="47">AL15-AJ15</f>
        <v>48.436364890410267</v>
      </c>
      <c r="AN15" s="10">
        <f t="shared" ref="AN15:AN19" si="48">IF(AM15&gt;0,AM15,0)</f>
        <v>48.436364890410267</v>
      </c>
      <c r="AO15" s="13">
        <f t="shared" ref="AO15:AO19" si="49">MIN(AJ15,AL15)</f>
        <v>1.102000000000001</v>
      </c>
      <c r="AP15" s="12">
        <f t="shared" ref="AP15:AP19" si="50">MIN(AJ15,AI15)</f>
        <v>1.102000000000001</v>
      </c>
    </row>
    <row r="16" spans="1:42">
      <c r="A16" s="5">
        <v>0.154</v>
      </c>
      <c r="C16" s="15">
        <v>0.5</v>
      </c>
      <c r="D16">
        <v>3.9061596562525169E-3</v>
      </c>
      <c r="E16">
        <v>0.18</v>
      </c>
      <c r="F16" s="8">
        <f t="shared" si="0"/>
        <v>0.19530798281262585</v>
      </c>
      <c r="G16" s="9">
        <f t="shared" si="27"/>
        <v>3.8346000000000009</v>
      </c>
      <c r="H16" s="9">
        <f t="shared" si="26"/>
        <v>0.19530798281262585</v>
      </c>
      <c r="I16" s="6"/>
      <c r="J16" s="10">
        <f t="shared" si="28"/>
        <v>1.8730523821687884E-3</v>
      </c>
      <c r="K16" s="10">
        <f t="shared" si="29"/>
        <v>6.0060000000000011</v>
      </c>
      <c r="L16" s="10">
        <f t="shared" si="30"/>
        <v>-6.0041269476178325</v>
      </c>
      <c r="M16" s="10">
        <f>J16+O15</f>
        <v>1.8730523821687884E-3</v>
      </c>
      <c r="N16" s="10">
        <f t="shared" si="31"/>
        <v>-6.0041269476178325</v>
      </c>
      <c r="O16" s="10">
        <f t="shared" si="32"/>
        <v>0</v>
      </c>
      <c r="P16" s="11">
        <f t="shared" si="33"/>
        <v>1.8730523821687884E-3</v>
      </c>
      <c r="S16" s="12">
        <f>D16*(E16-F$1)/(N$1-F$1)</f>
        <v>1.0959728531931522E-3</v>
      </c>
      <c r="T16" s="12">
        <f t="shared" si="34"/>
        <v>1.353593088620563E-2</v>
      </c>
      <c r="U16" s="12">
        <f>B$1*T16</f>
        <v>0.67679654431028147</v>
      </c>
      <c r="V16" s="12">
        <f t="shared" si="35"/>
        <v>6.0060000000000011</v>
      </c>
      <c r="W16" s="10">
        <f t="shared" si="36"/>
        <v>-5.3292034556897194</v>
      </c>
      <c r="X16" s="10">
        <f t="shared" si="37"/>
        <v>48.69996026466935</v>
      </c>
      <c r="Y16" s="10">
        <f t="shared" si="38"/>
        <v>42.69396026466935</v>
      </c>
      <c r="Z16" s="10">
        <f t="shared" si="39"/>
        <v>42.69396026466935</v>
      </c>
      <c r="AA16" s="13">
        <f t="shared" si="40"/>
        <v>6.0060000000000011</v>
      </c>
      <c r="AB16" s="12">
        <f t="shared" si="41"/>
        <v>0.67679654431028147</v>
      </c>
      <c r="AE16" s="12">
        <f>R$1/(E16-F$1)</f>
        <v>2.5641025641025637E-2</v>
      </c>
      <c r="AF16" s="12">
        <f t="shared" si="42"/>
        <v>0.94153118859131402</v>
      </c>
      <c r="AG16" s="12">
        <f>AF16*D16</f>
        <v>3.6777711439788707E-3</v>
      </c>
      <c r="AH16" s="12">
        <f t="shared" si="43"/>
        <v>5.2725745140625195E-3</v>
      </c>
      <c r="AI16" s="12">
        <f>B$1*AH16</f>
        <v>0.26362872570312595</v>
      </c>
      <c r="AJ16" s="12">
        <f t="shared" si="44"/>
        <v>6.0060000000000011</v>
      </c>
      <c r="AK16" s="10">
        <f t="shared" si="45"/>
        <v>-5.7423712742968753</v>
      </c>
      <c r="AL16" s="10">
        <f t="shared" si="46"/>
        <v>48.699993616113396</v>
      </c>
      <c r="AM16" s="10">
        <f t="shared" si="47"/>
        <v>42.693993616113396</v>
      </c>
      <c r="AN16" s="10">
        <f t="shared" si="48"/>
        <v>42.693993616113396</v>
      </c>
      <c r="AO16" s="13">
        <f t="shared" si="49"/>
        <v>6.0060000000000011</v>
      </c>
      <c r="AP16" s="12">
        <f t="shared" si="50"/>
        <v>0.26362872570312595</v>
      </c>
    </row>
    <row r="17" spans="1:42">
      <c r="A17" s="5">
        <v>0.40899999999999997</v>
      </c>
      <c r="D17">
        <v>9.0343747483068171E-8</v>
      </c>
      <c r="E17">
        <v>0.24</v>
      </c>
      <c r="F17" s="8">
        <f t="shared" si="0"/>
        <v>4.5171873741534085E-6</v>
      </c>
      <c r="G17" s="9">
        <f t="shared" si="27"/>
        <v>34.7241</v>
      </c>
      <c r="H17" s="9">
        <f t="shared" si="26"/>
        <v>4.5171873741534085E-6</v>
      </c>
      <c r="I17" s="6"/>
      <c r="J17" s="10">
        <f t="shared" si="28"/>
        <v>4.3320956214974805E-8</v>
      </c>
      <c r="K17" s="10">
        <f t="shared" si="29"/>
        <v>40.491</v>
      </c>
      <c r="L17" s="10">
        <f t="shared" si="30"/>
        <v>-40.49099995667904</v>
      </c>
      <c r="M17" s="10">
        <f>J17+O16</f>
        <v>4.3320956214974805E-8</v>
      </c>
      <c r="N17" s="10">
        <f t="shared" si="31"/>
        <v>-40.49099995667904</v>
      </c>
      <c r="O17" s="10">
        <f t="shared" si="32"/>
        <v>0</v>
      </c>
      <c r="P17" s="11">
        <f t="shared" si="33"/>
        <v>4.3320956214974805E-8</v>
      </c>
      <c r="S17" s="12">
        <f>D17*(E17-F$1)/(N$1-F$1)</f>
        <v>6.4345546768516163E-8</v>
      </c>
      <c r="T17" s="12">
        <f t="shared" si="34"/>
        <v>7.9470661281082615E-7</v>
      </c>
      <c r="U17" s="12">
        <f>B$1*T17</f>
        <v>3.9735330640541305E-5</v>
      </c>
      <c r="V17" s="12">
        <f t="shared" si="35"/>
        <v>40.491</v>
      </c>
      <c r="W17" s="10">
        <f t="shared" si="36"/>
        <v>-40.490960264669361</v>
      </c>
      <c r="X17" s="10">
        <f t="shared" si="37"/>
        <v>42.693999999999988</v>
      </c>
      <c r="Y17" s="10">
        <f t="shared" si="38"/>
        <v>2.2029999999999887</v>
      </c>
      <c r="Z17" s="10">
        <f t="shared" si="39"/>
        <v>2.2029999999999887</v>
      </c>
      <c r="AA17" s="13">
        <f t="shared" si="40"/>
        <v>40.491</v>
      </c>
      <c r="AB17" s="12">
        <f t="shared" si="41"/>
        <v>3.9735330640541305E-5</v>
      </c>
      <c r="AE17" s="12">
        <f>R$1/(E17-F$1)</f>
        <v>1.01010101010101E-2</v>
      </c>
      <c r="AF17" s="12">
        <f t="shared" si="42"/>
        <v>0.98577779981112901</v>
      </c>
      <c r="AG17" s="12">
        <f>AF17*D17</f>
        <v>8.9058860620551159E-8</v>
      </c>
      <c r="AH17" s="12">
        <f t="shared" si="43"/>
        <v>1.2767773207643122E-7</v>
      </c>
      <c r="AI17" s="12">
        <f>B$1*AH17</f>
        <v>6.3838866038215607E-6</v>
      </c>
      <c r="AJ17" s="12">
        <f t="shared" si="44"/>
        <v>40.491</v>
      </c>
      <c r="AK17" s="10">
        <f t="shared" si="45"/>
        <v>-40.490993616113393</v>
      </c>
      <c r="AL17" s="10">
        <f t="shared" si="46"/>
        <v>42.694000000000003</v>
      </c>
      <c r="AM17" s="10">
        <f t="shared" si="47"/>
        <v>2.203000000000003</v>
      </c>
      <c r="AN17" s="10">
        <f t="shared" si="48"/>
        <v>2.203000000000003</v>
      </c>
      <c r="AO17" s="13">
        <f t="shared" si="49"/>
        <v>40.491</v>
      </c>
      <c r="AP17" s="12">
        <f t="shared" si="50"/>
        <v>6.3838866038215607E-6</v>
      </c>
    </row>
    <row r="18" spans="1:42">
      <c r="A18" s="5">
        <v>1.085</v>
      </c>
      <c r="D18">
        <v>0</v>
      </c>
      <c r="E18">
        <v>0.28000000000000003</v>
      </c>
      <c r="F18" s="8">
        <f t="shared" si="0"/>
        <v>0</v>
      </c>
      <c r="G18" s="9">
        <f t="shared" si="27"/>
        <v>135.51650000000004</v>
      </c>
      <c r="H18" s="9">
        <f t="shared" si="26"/>
        <v>0</v>
      </c>
      <c r="I18" s="6"/>
      <c r="J18" s="10">
        <f t="shared" si="28"/>
        <v>0</v>
      </c>
      <c r="K18" s="10">
        <f t="shared" si="29"/>
        <v>150.81500000000003</v>
      </c>
      <c r="L18" s="10">
        <f t="shared" si="30"/>
        <v>-150.81500000000003</v>
      </c>
      <c r="M18" s="10">
        <f>J18+O17</f>
        <v>0</v>
      </c>
      <c r="N18" s="10">
        <f t="shared" si="31"/>
        <v>-150.81500000000003</v>
      </c>
      <c r="O18" s="10">
        <f t="shared" si="32"/>
        <v>0</v>
      </c>
      <c r="P18" s="11">
        <f t="shared" si="33"/>
        <v>0</v>
      </c>
      <c r="S18" s="12">
        <f>D18*(E18-F$1)/(N$1-F$1)</f>
        <v>0</v>
      </c>
      <c r="T18" s="12">
        <f t="shared" si="34"/>
        <v>0</v>
      </c>
      <c r="U18" s="12">
        <f>B$1*T18</f>
        <v>0</v>
      </c>
      <c r="V18" s="12">
        <f t="shared" si="35"/>
        <v>150.81500000000003</v>
      </c>
      <c r="W18" s="10">
        <f t="shared" si="36"/>
        <v>-150.81500000000003</v>
      </c>
      <c r="X18" s="10">
        <f t="shared" si="37"/>
        <v>2.2029999999999887</v>
      </c>
      <c r="Y18" s="10">
        <f t="shared" si="38"/>
        <v>-148.61200000000002</v>
      </c>
      <c r="Z18" s="10">
        <f t="shared" si="39"/>
        <v>0</v>
      </c>
      <c r="AA18" s="16">
        <f t="shared" si="40"/>
        <v>2.2029999999999887</v>
      </c>
      <c r="AB18" s="12">
        <f t="shared" si="41"/>
        <v>0</v>
      </c>
      <c r="AE18" s="12">
        <f>R$1/(E18-F$1)</f>
        <v>7.1942446043165445E-3</v>
      </c>
      <c r="AF18" s="12">
        <f t="shared" si="42"/>
        <v>0.99226923078784435</v>
      </c>
      <c r="AG18" s="12">
        <f>AF18*D18</f>
        <v>0</v>
      </c>
      <c r="AH18" s="12">
        <f t="shared" si="43"/>
        <v>0</v>
      </c>
      <c r="AI18" s="12">
        <f>B$1*AH18</f>
        <v>0</v>
      </c>
      <c r="AJ18" s="12">
        <f t="shared" si="44"/>
        <v>150.81500000000003</v>
      </c>
      <c r="AK18" s="10">
        <f t="shared" si="45"/>
        <v>-150.81500000000003</v>
      </c>
      <c r="AL18" s="10">
        <f t="shared" si="46"/>
        <v>2.203000000000003</v>
      </c>
      <c r="AM18" s="10">
        <f t="shared" si="47"/>
        <v>-148.61200000000002</v>
      </c>
      <c r="AN18" s="10">
        <f t="shared" si="48"/>
        <v>0</v>
      </c>
      <c r="AO18" s="16">
        <f t="shared" si="49"/>
        <v>2.203000000000003</v>
      </c>
      <c r="AP18" s="12">
        <f t="shared" si="50"/>
        <v>0</v>
      </c>
    </row>
    <row r="19" spans="1:42">
      <c r="A19" s="5">
        <v>2.8719999999999999</v>
      </c>
      <c r="D19">
        <v>0</v>
      </c>
      <c r="E19">
        <v>0.32</v>
      </c>
      <c r="F19" s="8">
        <f t="shared" si="0"/>
        <v>0</v>
      </c>
      <c r="G19" s="9">
        <f t="shared" si="27"/>
        <v>473.59280000000001</v>
      </c>
      <c r="H19" s="9">
        <f t="shared" si="26"/>
        <v>0</v>
      </c>
      <c r="I19" s="6"/>
      <c r="J19" s="10">
        <f t="shared" si="28"/>
        <v>0</v>
      </c>
      <c r="K19" s="10">
        <f t="shared" si="29"/>
        <v>514.08799999999997</v>
      </c>
      <c r="L19" s="10">
        <f t="shared" si="30"/>
        <v>-514.08799999999997</v>
      </c>
      <c r="M19" s="10">
        <f>J19+O18</f>
        <v>0</v>
      </c>
      <c r="N19" s="10">
        <f t="shared" si="31"/>
        <v>-514.08799999999997</v>
      </c>
      <c r="O19" s="10">
        <f t="shared" si="32"/>
        <v>0</v>
      </c>
      <c r="P19" s="11">
        <f t="shared" si="33"/>
        <v>0</v>
      </c>
      <c r="S19" s="12">
        <f>D19*(E19-F$1)/(N$1-F$1)</f>
        <v>0</v>
      </c>
      <c r="T19" s="12">
        <f t="shared" si="34"/>
        <v>0</v>
      </c>
      <c r="U19" s="12">
        <f>B$1*T19</f>
        <v>0</v>
      </c>
      <c r="V19" s="12">
        <f t="shared" si="35"/>
        <v>514.08799999999997</v>
      </c>
      <c r="W19" s="10">
        <f t="shared" si="36"/>
        <v>-514.08799999999997</v>
      </c>
      <c r="X19" s="10">
        <f t="shared" si="37"/>
        <v>0</v>
      </c>
      <c r="Y19" s="10">
        <f t="shared" si="38"/>
        <v>-514.08799999999997</v>
      </c>
      <c r="Z19" s="10">
        <f t="shared" si="39"/>
        <v>0</v>
      </c>
      <c r="AA19" s="13">
        <f t="shared" si="40"/>
        <v>0</v>
      </c>
      <c r="AB19" s="12">
        <f t="shared" si="41"/>
        <v>0</v>
      </c>
      <c r="AE19" s="12">
        <f>R$1/(E19-F$1)</f>
        <v>5.586592178770949E-3</v>
      </c>
      <c r="AF19" s="12">
        <f t="shared" si="42"/>
        <v>0.99539699386749236</v>
      </c>
      <c r="AG19" s="12">
        <f>AF19*D19</f>
        <v>0</v>
      </c>
      <c r="AH19" s="12">
        <f t="shared" si="43"/>
        <v>0</v>
      </c>
      <c r="AI19" s="12">
        <f>B$1*AH19</f>
        <v>0</v>
      </c>
      <c r="AJ19" s="12">
        <f t="shared" si="44"/>
        <v>514.08799999999997</v>
      </c>
      <c r="AK19" s="10">
        <f t="shared" si="45"/>
        <v>-514.08799999999997</v>
      </c>
      <c r="AL19" s="10">
        <f t="shared" si="46"/>
        <v>0</v>
      </c>
      <c r="AM19" s="10">
        <f t="shared" si="47"/>
        <v>-514.08799999999997</v>
      </c>
      <c r="AN19" s="10">
        <f t="shared" si="48"/>
        <v>0</v>
      </c>
      <c r="AO19" s="13">
        <f t="shared" si="49"/>
        <v>0</v>
      </c>
      <c r="AP19" s="12">
        <f t="shared" si="50"/>
        <v>0</v>
      </c>
    </row>
    <row r="20" spans="1:42">
      <c r="C20" t="s">
        <v>25</v>
      </c>
      <c r="F20" s="8">
        <f>SUM(F14:F19)</f>
        <v>50</v>
      </c>
      <c r="G20" s="9"/>
      <c r="H20" s="9">
        <f>SUM(H14:H19)</f>
        <v>0.4795125000000009</v>
      </c>
      <c r="I20" s="6"/>
      <c r="J20" s="10">
        <f>SUM(J14:J19)</f>
        <v>0.4795125000000009</v>
      </c>
      <c r="K20" s="10"/>
      <c r="L20" s="10"/>
      <c r="M20" s="10"/>
      <c r="N20" s="10"/>
      <c r="O20" s="10"/>
      <c r="P20" s="11">
        <f>SUM(P14:P19)</f>
        <v>0.4795125000000009</v>
      </c>
      <c r="S20" s="12">
        <f>SUM(S14:S19)</f>
        <v>8.096767502780694E-2</v>
      </c>
      <c r="T20" s="12">
        <f>SUM(T14:T19)</f>
        <v>1</v>
      </c>
      <c r="U20" s="12">
        <f>SUM(U14:U19)</f>
        <v>49.999999999999993</v>
      </c>
      <c r="V20" s="12"/>
      <c r="W20" s="13"/>
      <c r="X20" s="13"/>
      <c r="Y20" s="13"/>
      <c r="Z20" s="13"/>
      <c r="AA20" s="13">
        <f>SUM(AA14:AA19)</f>
        <v>49.999999999999993</v>
      </c>
      <c r="AB20" s="12">
        <f>SUM(AB14:AB19)</f>
        <v>1.9768362796409231</v>
      </c>
      <c r="AE20" s="12"/>
      <c r="AF20" s="12"/>
      <c r="AG20" s="12">
        <f>SUM(AG14:AG19)</f>
        <v>0.69752852883726202</v>
      </c>
      <c r="AH20" s="12">
        <f>SUM(AH14:AH19)</f>
        <v>1</v>
      </c>
      <c r="AI20" s="12">
        <f>SUM(AI14:AI19)</f>
        <v>50.000000000000007</v>
      </c>
      <c r="AJ20" s="12"/>
      <c r="AK20" s="13"/>
      <c r="AL20" s="13"/>
      <c r="AM20" s="13"/>
      <c r="AN20" s="13"/>
      <c r="AO20" s="13">
        <f>SUM(AO14:AO19)</f>
        <v>50.000000000000007</v>
      </c>
      <c r="AP20" s="12">
        <f>SUM(AP14:AP19)</f>
        <v>1.563635109589731</v>
      </c>
    </row>
    <row r="21" spans="1:42">
      <c r="F21" s="5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1:42">
      <c r="C22" s="18" t="s">
        <v>29</v>
      </c>
      <c r="F22" s="5"/>
      <c r="G22" s="6"/>
      <c r="H22" s="6"/>
      <c r="I22" s="6"/>
      <c r="J22" s="6"/>
      <c r="K22" s="6"/>
      <c r="L22" s="6"/>
      <c r="M22" s="6"/>
      <c r="N22" s="6"/>
      <c r="O22" s="6">
        <v>0</v>
      </c>
      <c r="P22" s="7"/>
      <c r="Z22">
        <v>0</v>
      </c>
      <c r="AN22">
        <v>0</v>
      </c>
    </row>
    <row r="23" spans="1:42">
      <c r="A23" s="5">
        <v>2.1999999999999999E-2</v>
      </c>
      <c r="D23">
        <v>1.9257839275418243E-2</v>
      </c>
      <c r="E23">
        <v>0.15</v>
      </c>
      <c r="F23" s="8">
        <f t="shared" si="0"/>
        <v>0.96289196377091213</v>
      </c>
      <c r="G23" s="9">
        <f>MAX(0,(E23-V$1*F$1)*A23*1000)</f>
        <v>0</v>
      </c>
      <c r="H23" s="9">
        <f t="shared" ref="H23:H28" si="51">MIN(G23,F23)</f>
        <v>0</v>
      </c>
      <c r="I23" s="6"/>
      <c r="J23" s="10">
        <f>H$29*D23</f>
        <v>0.86230127627554731</v>
      </c>
      <c r="K23" s="10">
        <f>(E23-F$1)*A23*1000</f>
        <v>0.19800000000000018</v>
      </c>
      <c r="L23" s="10">
        <f>J23-K23</f>
        <v>0.66430127627554714</v>
      </c>
      <c r="M23" s="10">
        <f>J23+O22</f>
        <v>0.86230127627554731</v>
      </c>
      <c r="N23" s="10">
        <f>M23-K23</f>
        <v>0.66430127627554714</v>
      </c>
      <c r="O23" s="10">
        <f>IF(N23&gt;0,N23,0)</f>
        <v>0.66430127627554714</v>
      </c>
      <c r="P23" s="11">
        <f>IF(N23&gt;0,K23,M23)</f>
        <v>0.19800000000000018</v>
      </c>
      <c r="S23" s="12">
        <f>D23*(E23-F$1)/(N$1-F$1)</f>
        <v>1.2469104566817575E-3</v>
      </c>
      <c r="T23" s="12">
        <f>S23/S$29</f>
        <v>1.4741380060991412E-3</v>
      </c>
      <c r="U23" s="12">
        <f>B$1*T23</f>
        <v>7.3706900304957065E-2</v>
      </c>
      <c r="V23" s="12">
        <f>(E23-F$1)*A23*1000</f>
        <v>0.19800000000000018</v>
      </c>
      <c r="W23" s="10">
        <f>U23-V23</f>
        <v>-0.12429309969504311</v>
      </c>
      <c r="X23" s="10">
        <f>U23+Z22</f>
        <v>7.3706900304957065E-2</v>
      </c>
      <c r="Y23" s="10">
        <f>X23-V23</f>
        <v>-0.12429309969504311</v>
      </c>
      <c r="Z23" s="10">
        <f>IF(Y23&gt;0,Y23,0)</f>
        <v>0</v>
      </c>
      <c r="AA23" s="13">
        <f>MIN(V23,X23)</f>
        <v>7.3706900304957065E-2</v>
      </c>
      <c r="AB23" s="12">
        <f>MIN(V23,U23)</f>
        <v>7.3706900304957065E-2</v>
      </c>
      <c r="AE23" s="12">
        <f>R$1/(E23-F$1)</f>
        <v>0.11111111111111102</v>
      </c>
      <c r="AF23" s="12">
        <f>(R$1/AE23/J$1)^AE23</f>
        <v>0.65442377563382659</v>
      </c>
      <c r="AG23" s="12">
        <f>AF23*D23</f>
        <v>1.2602787889168602E-2</v>
      </c>
      <c r="AH23" s="12">
        <f>AG23/AG$29</f>
        <v>1.2967251833074457E-2</v>
      </c>
      <c r="AI23" s="12">
        <f>B$1*AH23</f>
        <v>0.6483625916537229</v>
      </c>
      <c r="AJ23" s="12">
        <f>(E23-F$1)*A23*1000</f>
        <v>0.19800000000000018</v>
      </c>
      <c r="AK23" s="10">
        <f>AI23-AJ23</f>
        <v>0.45036259165372272</v>
      </c>
      <c r="AL23" s="10">
        <f>AI23+AN22</f>
        <v>0.6483625916537229</v>
      </c>
      <c r="AM23" s="10">
        <f>AL23-AJ23</f>
        <v>0.45036259165372272</v>
      </c>
      <c r="AN23" s="10">
        <f>IF(AM23&gt;0,AM23,0)</f>
        <v>0.45036259165372272</v>
      </c>
      <c r="AO23" s="13">
        <f>MIN(AJ23,AL23)</f>
        <v>0.19800000000000018</v>
      </c>
      <c r="AP23" s="12">
        <f>MIN(AJ23,AI23)</f>
        <v>0.19800000000000018</v>
      </c>
    </row>
    <row r="24" spans="1:42">
      <c r="A24" s="5">
        <v>5.8000000000000003E-2</v>
      </c>
      <c r="C24" s="14" t="s">
        <v>24</v>
      </c>
      <c r="D24">
        <v>4.9011586312158184E-2</v>
      </c>
      <c r="E24">
        <v>0.16</v>
      </c>
      <c r="F24" s="8">
        <f t="shared" si="0"/>
        <v>2.450579315607909</v>
      </c>
      <c r="G24" s="9">
        <f t="shared" ref="G24:G28" si="52">MAX(0,(E24-V$1*F$1)*A24*1000)</f>
        <v>0.2842000000000009</v>
      </c>
      <c r="H24" s="9">
        <f t="shared" si="51"/>
        <v>0.2842000000000009</v>
      </c>
      <c r="I24" s="6"/>
      <c r="J24" s="10">
        <f t="shared" ref="J24:J28" si="53">H$29*D24</f>
        <v>2.1945740030767436</v>
      </c>
      <c r="K24" s="10">
        <f t="shared" ref="K24:K28" si="54">(E24-F$1)*A24*1000</f>
        <v>1.102000000000001</v>
      </c>
      <c r="L24" s="10">
        <f t="shared" ref="L24:L28" si="55">J24-K24</f>
        <v>1.0925740030767426</v>
      </c>
      <c r="M24" s="10">
        <f>J24+O23</f>
        <v>2.8588752793522909</v>
      </c>
      <c r="N24" s="10">
        <f t="shared" ref="N24:N28" si="56">M24-K24</f>
        <v>1.7568752793522899</v>
      </c>
      <c r="O24" s="10">
        <f t="shared" ref="O24:O28" si="57">IF(N24&gt;0,N24,0)</f>
        <v>1.7568752793522899</v>
      </c>
      <c r="P24" s="11">
        <f t="shared" ref="P24:P28" si="58">IF(N24&gt;0,K24,M24)</f>
        <v>1.102000000000001</v>
      </c>
      <c r="S24" s="12">
        <f>D24*(E24-F$1)/(N$1-F$1)</f>
        <v>6.6994254671295401E-3</v>
      </c>
      <c r="T24" s="12">
        <f t="shared" ref="T24:T28" si="59">S24/S$29</f>
        <v>7.9202781941580241E-3</v>
      </c>
      <c r="U24" s="12">
        <f>B$1*T24</f>
        <v>0.39601390970790118</v>
      </c>
      <c r="V24" s="12">
        <f t="shared" ref="V24:V28" si="60">(E24-F$1)*A24*1000</f>
        <v>1.102000000000001</v>
      </c>
      <c r="W24" s="10">
        <f t="shared" ref="W24:W28" si="61">U24-V24</f>
        <v>-0.7059860902920998</v>
      </c>
      <c r="X24" s="10">
        <f t="shared" ref="X24:X28" si="62">U24+Z23</f>
        <v>0.39601390970790118</v>
      </c>
      <c r="Y24" s="10">
        <f t="shared" ref="Y24:Y28" si="63">X24-V24</f>
        <v>-0.7059860902920998</v>
      </c>
      <c r="Z24" s="10">
        <f t="shared" ref="Z24:Z28" si="64">IF(Y24&gt;0,Y24,0)</f>
        <v>0</v>
      </c>
      <c r="AA24" s="13">
        <f t="shared" ref="AA24:AA28" si="65">MIN(V24,X24)</f>
        <v>0.39601390970790118</v>
      </c>
      <c r="AB24" s="12">
        <f t="shared" ref="AB24:AB28" si="66">MIN(V24,U24)</f>
        <v>0.39601390970790118</v>
      </c>
      <c r="AE24" s="12">
        <f>R$1/(E24-F$1)</f>
        <v>5.2631578947368376E-2</v>
      </c>
      <c r="AF24" s="12">
        <f t="shared" ref="AF24:AF28" si="67">(R$1/AE24/J$1)^AE24</f>
        <v>0.85085367632506947</v>
      </c>
      <c r="AG24" s="12">
        <f>AF24*D24</f>
        <v>4.1701688396223242E-2</v>
      </c>
      <c r="AH24" s="12">
        <f t="shared" ref="AH24:AH28" si="68">AG24/AG$29</f>
        <v>4.2907672497049298E-2</v>
      </c>
      <c r="AI24" s="12">
        <f>B$1*AH24</f>
        <v>2.1453836248524647</v>
      </c>
      <c r="AJ24" s="12">
        <f t="shared" ref="AJ24:AJ28" si="69">(E24-F$1)*A24*1000</f>
        <v>1.102000000000001</v>
      </c>
      <c r="AK24" s="10">
        <f t="shared" ref="AK24:AK28" si="70">AI24-AJ24</f>
        <v>1.0433836248524637</v>
      </c>
      <c r="AL24" s="10">
        <f t="shared" ref="AL24:AL28" si="71">AI24+AN23</f>
        <v>2.5957462165061873</v>
      </c>
      <c r="AM24" s="10">
        <f t="shared" ref="AM24:AM28" si="72">AL24-AJ24</f>
        <v>1.4937462165061863</v>
      </c>
      <c r="AN24" s="10">
        <f t="shared" ref="AN24:AN28" si="73">IF(AM24&gt;0,AM24,0)</f>
        <v>1.4937462165061863</v>
      </c>
      <c r="AO24" s="13">
        <f t="shared" ref="AO24:AO28" si="74">MIN(AJ24,AL24)</f>
        <v>1.102000000000001</v>
      </c>
      <c r="AP24" s="12">
        <f t="shared" ref="AP24:AP28" si="75">MIN(AJ24,AI24)</f>
        <v>1.102000000000001</v>
      </c>
    </row>
    <row r="25" spans="1:42">
      <c r="A25" s="5">
        <v>0.154</v>
      </c>
      <c r="C25" s="15">
        <v>0.99119999999999997</v>
      </c>
      <c r="D25">
        <v>0.11857383679022682</v>
      </c>
      <c r="E25">
        <v>0.18</v>
      </c>
      <c r="F25" s="8">
        <f t="shared" si="0"/>
        <v>5.928691839511341</v>
      </c>
      <c r="G25" s="9">
        <f t="shared" si="52"/>
        <v>3.8346000000000009</v>
      </c>
      <c r="H25" s="9">
        <f t="shared" si="51"/>
        <v>3.8346000000000009</v>
      </c>
      <c r="I25" s="6"/>
      <c r="J25" s="10">
        <f t="shared" si="53"/>
        <v>5.3093376330964546</v>
      </c>
      <c r="K25" s="10">
        <f t="shared" si="54"/>
        <v>6.0060000000000011</v>
      </c>
      <c r="L25" s="10">
        <f t="shared" si="55"/>
        <v>-0.69666236690354655</v>
      </c>
      <c r="M25" s="10">
        <f>J25+O24</f>
        <v>7.0662129124487443</v>
      </c>
      <c r="N25" s="10">
        <f t="shared" si="56"/>
        <v>1.0602129124487432</v>
      </c>
      <c r="O25" s="10">
        <f t="shared" si="57"/>
        <v>1.0602129124487432</v>
      </c>
      <c r="P25" s="11">
        <f t="shared" si="58"/>
        <v>6.0060000000000011</v>
      </c>
      <c r="S25" s="12">
        <f>D25*(E25-F$1)/(N$1-F$1)</f>
        <v>3.3268918236106802E-2</v>
      </c>
      <c r="T25" s="12">
        <f t="shared" si="59"/>
        <v>3.933159476756784E-2</v>
      </c>
      <c r="U25" s="12">
        <f>B$1*T25</f>
        <v>1.9665797383783921</v>
      </c>
      <c r="V25" s="12">
        <f t="shared" si="60"/>
        <v>6.0060000000000011</v>
      </c>
      <c r="W25" s="10">
        <f t="shared" si="61"/>
        <v>-4.0394202616216095</v>
      </c>
      <c r="X25" s="10">
        <f t="shared" si="62"/>
        <v>1.9665797383783921</v>
      </c>
      <c r="Y25" s="10">
        <f t="shared" si="63"/>
        <v>-4.0394202616216095</v>
      </c>
      <c r="Z25" s="10">
        <f t="shared" si="64"/>
        <v>0</v>
      </c>
      <c r="AA25" s="13">
        <f t="shared" si="65"/>
        <v>1.9665797383783921</v>
      </c>
      <c r="AB25" s="12">
        <f t="shared" si="66"/>
        <v>1.9665797383783921</v>
      </c>
      <c r="AE25" s="12">
        <f>R$1/(E25-F$1)</f>
        <v>2.5641025641025637E-2</v>
      </c>
      <c r="AF25" s="12">
        <f t="shared" si="67"/>
        <v>0.94153118859131402</v>
      </c>
      <c r="AG25" s="12">
        <f>AF25*D25</f>
        <v>0.11164096548893473</v>
      </c>
      <c r="AH25" s="12">
        <f t="shared" si="68"/>
        <v>0.11486954530328872</v>
      </c>
      <c r="AI25" s="12">
        <f>B$1*AH25</f>
        <v>5.7434772651644357</v>
      </c>
      <c r="AJ25" s="12">
        <f t="shared" si="69"/>
        <v>6.0060000000000011</v>
      </c>
      <c r="AK25" s="10">
        <f t="shared" si="70"/>
        <v>-0.26252273483556543</v>
      </c>
      <c r="AL25" s="10">
        <f t="shared" si="71"/>
        <v>7.2372234816706218</v>
      </c>
      <c r="AM25" s="10">
        <f t="shared" si="72"/>
        <v>1.2312234816706207</v>
      </c>
      <c r="AN25" s="10">
        <f t="shared" si="73"/>
        <v>1.2312234816706207</v>
      </c>
      <c r="AO25" s="13">
        <f t="shared" si="74"/>
        <v>6.0060000000000011</v>
      </c>
      <c r="AP25" s="12">
        <f t="shared" si="75"/>
        <v>5.7434772651644357</v>
      </c>
    </row>
    <row r="26" spans="1:42">
      <c r="A26" s="5">
        <v>0.40899999999999997</v>
      </c>
      <c r="D26">
        <v>0.24669423912679822</v>
      </c>
      <c r="E26">
        <v>0.24</v>
      </c>
      <c r="F26" s="8">
        <f t="shared" si="0"/>
        <v>12.334711956339911</v>
      </c>
      <c r="G26" s="9">
        <f t="shared" si="52"/>
        <v>34.7241</v>
      </c>
      <c r="H26" s="9">
        <f t="shared" si="51"/>
        <v>12.334711956339911</v>
      </c>
      <c r="I26" s="6"/>
      <c r="J26" s="10">
        <f t="shared" si="53"/>
        <v>11.046138365086298</v>
      </c>
      <c r="K26" s="10">
        <f t="shared" si="54"/>
        <v>40.491</v>
      </c>
      <c r="L26" s="10">
        <f t="shared" si="55"/>
        <v>-29.4448616349137</v>
      </c>
      <c r="M26" s="10">
        <f>J26+O25</f>
        <v>12.10635127753504</v>
      </c>
      <c r="N26" s="10">
        <f t="shared" si="56"/>
        <v>-28.384648722464959</v>
      </c>
      <c r="O26" s="10">
        <f t="shared" si="57"/>
        <v>0</v>
      </c>
      <c r="P26" s="11">
        <f t="shared" si="58"/>
        <v>12.10635127753504</v>
      </c>
      <c r="S26" s="12">
        <f>D26*(E26-F$1)/(N$1-F$1)</f>
        <v>0.17570309117664043</v>
      </c>
      <c r="T26" s="12">
        <f t="shared" si="59"/>
        <v>0.20772189623131396</v>
      </c>
      <c r="U26" s="12">
        <f>B$1*T26</f>
        <v>10.386094811565698</v>
      </c>
      <c r="V26" s="12">
        <f t="shared" si="60"/>
        <v>40.491</v>
      </c>
      <c r="W26" s="10">
        <f t="shared" si="61"/>
        <v>-30.104905188434302</v>
      </c>
      <c r="X26" s="10">
        <f t="shared" si="62"/>
        <v>10.386094811565698</v>
      </c>
      <c r="Y26" s="10">
        <f t="shared" si="63"/>
        <v>-30.104905188434302</v>
      </c>
      <c r="Z26" s="10">
        <f t="shared" si="64"/>
        <v>0</v>
      </c>
      <c r="AA26" s="13">
        <f t="shared" si="65"/>
        <v>10.386094811565698</v>
      </c>
      <c r="AB26" s="12">
        <f t="shared" si="66"/>
        <v>10.386094811565698</v>
      </c>
      <c r="AE26" s="12">
        <f>R$1/(E26-F$1)</f>
        <v>1.01010101010101E-2</v>
      </c>
      <c r="AF26" s="12">
        <f t="shared" si="67"/>
        <v>0.98577779981112901</v>
      </c>
      <c r="AG26" s="12">
        <f>AF26*D26</f>
        <v>0.2431857042724957</v>
      </c>
      <c r="AH26" s="12">
        <f t="shared" si="68"/>
        <v>0.25021846731350911</v>
      </c>
      <c r="AI26" s="12">
        <f>B$1*AH26</f>
        <v>12.510923365675456</v>
      </c>
      <c r="AJ26" s="12">
        <f t="shared" si="69"/>
        <v>40.491</v>
      </c>
      <c r="AK26" s="10">
        <f t="shared" si="70"/>
        <v>-27.980076634324544</v>
      </c>
      <c r="AL26" s="10">
        <f t="shared" si="71"/>
        <v>13.742146847346078</v>
      </c>
      <c r="AM26" s="10">
        <f t="shared" si="72"/>
        <v>-26.748853152653922</v>
      </c>
      <c r="AN26" s="10">
        <f t="shared" si="73"/>
        <v>0</v>
      </c>
      <c r="AO26" s="13">
        <f t="shared" si="74"/>
        <v>13.742146847346078</v>
      </c>
      <c r="AP26" s="12">
        <f t="shared" si="75"/>
        <v>12.510923365675456</v>
      </c>
    </row>
    <row r="27" spans="1:42">
      <c r="A27" s="5">
        <v>1.085</v>
      </c>
      <c r="D27">
        <v>0.34935666441789159</v>
      </c>
      <c r="E27">
        <v>0.28000000000000003</v>
      </c>
      <c r="F27" s="8">
        <f t="shared" si="0"/>
        <v>17.46783322089458</v>
      </c>
      <c r="G27" s="9">
        <f t="shared" si="52"/>
        <v>135.51650000000004</v>
      </c>
      <c r="H27" s="9">
        <f t="shared" si="51"/>
        <v>17.46783322089458</v>
      </c>
      <c r="I27" s="6"/>
      <c r="J27" s="10">
        <f t="shared" si="53"/>
        <v>15.643016503281801</v>
      </c>
      <c r="K27" s="10">
        <f t="shared" si="54"/>
        <v>150.81500000000003</v>
      </c>
      <c r="L27" s="10">
        <f t="shared" si="55"/>
        <v>-135.17198349671821</v>
      </c>
      <c r="M27" s="10">
        <f>J27+O26</f>
        <v>15.643016503281801</v>
      </c>
      <c r="N27" s="10">
        <f t="shared" si="56"/>
        <v>-135.17198349671821</v>
      </c>
      <c r="O27" s="10">
        <f t="shared" si="57"/>
        <v>0</v>
      </c>
      <c r="P27" s="11">
        <f t="shared" si="58"/>
        <v>15.643016503281801</v>
      </c>
      <c r="S27" s="12">
        <f>D27*(E27-F$1)/(N$1-F$1)</f>
        <v>0.34935666441789159</v>
      </c>
      <c r="T27" s="12">
        <f t="shared" si="59"/>
        <v>0.41302078584932284</v>
      </c>
      <c r="U27" s="12">
        <f>B$1*T27</f>
        <v>20.651039292466141</v>
      </c>
      <c r="V27" s="12">
        <f t="shared" si="60"/>
        <v>150.81500000000003</v>
      </c>
      <c r="W27" s="10">
        <f t="shared" si="61"/>
        <v>-130.16396070753387</v>
      </c>
      <c r="X27" s="10">
        <f t="shared" si="62"/>
        <v>20.651039292466141</v>
      </c>
      <c r="Y27" s="10">
        <f t="shared" si="63"/>
        <v>-130.16396070753387</v>
      </c>
      <c r="Z27" s="10">
        <f t="shared" si="64"/>
        <v>0</v>
      </c>
      <c r="AA27" s="13">
        <f t="shared" si="65"/>
        <v>20.651039292466141</v>
      </c>
      <c r="AB27" s="12">
        <f t="shared" si="66"/>
        <v>20.651039292466141</v>
      </c>
      <c r="AE27" s="12">
        <f>R$1/(E27-F$1)</f>
        <v>7.1942446043165445E-3</v>
      </c>
      <c r="AF27" s="12">
        <f t="shared" si="67"/>
        <v>0.99226923078784435</v>
      </c>
      <c r="AG27" s="12">
        <f>AF27*D27</f>
        <v>0.34665586867254838</v>
      </c>
      <c r="AH27" s="12">
        <f t="shared" si="68"/>
        <v>0.35668091758915299</v>
      </c>
      <c r="AI27" s="12">
        <f>B$1*AH27</f>
        <v>17.834045879457648</v>
      </c>
      <c r="AJ27" s="12">
        <f t="shared" si="69"/>
        <v>150.81500000000003</v>
      </c>
      <c r="AK27" s="10">
        <f t="shared" si="70"/>
        <v>-132.98095412054238</v>
      </c>
      <c r="AL27" s="10">
        <f t="shared" si="71"/>
        <v>17.834045879457648</v>
      </c>
      <c r="AM27" s="10">
        <f t="shared" si="72"/>
        <v>-132.98095412054238</v>
      </c>
      <c r="AN27" s="10">
        <f t="shared" si="73"/>
        <v>0</v>
      </c>
      <c r="AO27" s="13">
        <f t="shared" si="74"/>
        <v>17.834045879457648</v>
      </c>
      <c r="AP27" s="12">
        <f t="shared" si="75"/>
        <v>17.834045879457648</v>
      </c>
    </row>
    <row r="28" spans="1:42">
      <c r="A28" s="5">
        <v>2.8719999999999999</v>
      </c>
      <c r="D28">
        <v>0.217105834</v>
      </c>
      <c r="E28">
        <v>0.32</v>
      </c>
      <c r="F28" s="8">
        <f t="shared" si="0"/>
        <v>10.8552917</v>
      </c>
      <c r="G28" s="9">
        <f t="shared" si="52"/>
        <v>473.59280000000001</v>
      </c>
      <c r="H28" s="9">
        <f t="shared" si="51"/>
        <v>10.8552917</v>
      </c>
      <c r="I28" s="6"/>
      <c r="J28" s="10">
        <f t="shared" si="53"/>
        <v>9.7212690929471499</v>
      </c>
      <c r="K28" s="10">
        <f t="shared" si="54"/>
        <v>514.08799999999997</v>
      </c>
      <c r="L28" s="10">
        <f t="shared" si="55"/>
        <v>-504.36673090705284</v>
      </c>
      <c r="M28" s="10">
        <f>J28+O27</f>
        <v>9.7212690929471499</v>
      </c>
      <c r="N28" s="10">
        <f t="shared" si="56"/>
        <v>-504.36673090705284</v>
      </c>
      <c r="O28" s="10">
        <f t="shared" si="57"/>
        <v>0</v>
      </c>
      <c r="P28" s="11">
        <f t="shared" si="58"/>
        <v>9.7212690929471499</v>
      </c>
      <c r="S28" s="12">
        <f>D28*(E28-F$1)/(N$1-F$1)</f>
        <v>0.27958233299280572</v>
      </c>
      <c r="T28" s="12">
        <f t="shared" si="59"/>
        <v>0.33053130695153826</v>
      </c>
      <c r="U28" s="12">
        <f>B$1*T28</f>
        <v>16.526565347576913</v>
      </c>
      <c r="V28" s="12">
        <f t="shared" si="60"/>
        <v>514.08799999999997</v>
      </c>
      <c r="W28" s="10">
        <f t="shared" si="61"/>
        <v>-497.56143465242303</v>
      </c>
      <c r="X28" s="10">
        <f t="shared" si="62"/>
        <v>16.526565347576913</v>
      </c>
      <c r="Y28" s="10">
        <f t="shared" si="63"/>
        <v>-497.56143465242303</v>
      </c>
      <c r="Z28" s="10">
        <f t="shared" si="64"/>
        <v>0</v>
      </c>
      <c r="AA28" s="13">
        <f t="shared" si="65"/>
        <v>16.526565347576913</v>
      </c>
      <c r="AB28" s="12">
        <f t="shared" si="66"/>
        <v>16.526565347576913</v>
      </c>
      <c r="AE28" s="12">
        <f>R$1/(E28-F$1)</f>
        <v>5.586592178770949E-3</v>
      </c>
      <c r="AF28" s="12">
        <f t="shared" si="67"/>
        <v>0.99539699386749236</v>
      </c>
      <c r="AG28" s="12">
        <f>AF28*D28</f>
        <v>0.21610649451469482</v>
      </c>
      <c r="AH28" s="12">
        <f t="shared" si="68"/>
        <v>0.22235614546392543</v>
      </c>
      <c r="AI28" s="12">
        <f>B$1*AH28</f>
        <v>11.117807273196272</v>
      </c>
      <c r="AJ28" s="12">
        <f t="shared" si="69"/>
        <v>514.08799999999997</v>
      </c>
      <c r="AK28" s="10">
        <f t="shared" si="70"/>
        <v>-502.9701927268037</v>
      </c>
      <c r="AL28" s="10">
        <f t="shared" si="71"/>
        <v>11.117807273196272</v>
      </c>
      <c r="AM28" s="10">
        <f t="shared" si="72"/>
        <v>-502.9701927268037</v>
      </c>
      <c r="AN28" s="10">
        <f t="shared" si="73"/>
        <v>0</v>
      </c>
      <c r="AO28" s="13">
        <f t="shared" si="74"/>
        <v>11.117807273196272</v>
      </c>
      <c r="AP28" s="12">
        <f t="shared" si="75"/>
        <v>11.117807273196272</v>
      </c>
    </row>
    <row r="29" spans="1:42">
      <c r="C29" t="s">
        <v>25</v>
      </c>
      <c r="F29" s="24">
        <f>SUM(F23:F28)</f>
        <v>49.99999999612465</v>
      </c>
      <c r="G29" s="25"/>
      <c r="H29" s="25">
        <f>SUM(H23:H28)</f>
        <v>44.776636877234495</v>
      </c>
      <c r="I29" s="17"/>
      <c r="J29" s="22">
        <f>SUM(J23:J28)</f>
        <v>44.776636873763991</v>
      </c>
      <c r="K29" s="22"/>
      <c r="L29" s="22"/>
      <c r="M29" s="22"/>
      <c r="N29" s="22"/>
      <c r="O29" s="22"/>
      <c r="P29" s="23">
        <f>SUM(P23:P28)</f>
        <v>44.776636873763991</v>
      </c>
      <c r="S29" s="12">
        <f>SUM(S23:S28)</f>
        <v>0.84585734274725577</v>
      </c>
      <c r="T29" s="12">
        <f>SUM(T23:T28)</f>
        <v>1</v>
      </c>
      <c r="U29" s="12">
        <f>SUM(U23:U28)</f>
        <v>50</v>
      </c>
      <c r="V29" s="12"/>
      <c r="W29" s="13"/>
      <c r="X29" s="13"/>
      <c r="Y29" s="13"/>
      <c r="Z29" s="13"/>
      <c r="AA29" s="13">
        <f>SUM(AA23:AA28)</f>
        <v>50</v>
      </c>
      <c r="AB29" s="12">
        <f>SUM(AB23:AB28)</f>
        <v>50</v>
      </c>
      <c r="AE29" s="12"/>
      <c r="AF29" s="12"/>
      <c r="AG29" s="12">
        <f>SUM(AG23:AG28)</f>
        <v>0.97189350923406548</v>
      </c>
      <c r="AH29" s="12">
        <f>SUM(AH23:AH28)</f>
        <v>1</v>
      </c>
      <c r="AI29" s="12">
        <f>SUM(AI23:AI28)</f>
        <v>49.999999999999993</v>
      </c>
      <c r="AJ29" s="12"/>
      <c r="AK29" s="13"/>
      <c r="AL29" s="13"/>
      <c r="AM29" s="13"/>
      <c r="AN29" s="13"/>
      <c r="AO29" s="13">
        <f>SUM(AO23:AO28)</f>
        <v>50</v>
      </c>
      <c r="AP29" s="12">
        <f>SUM(AP23:AP28)</f>
        <v>48.506253783493811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Pak, Bernard (O&amp;A, Aspendale)</dc:creator>
  <cp:lastModifiedBy>Pak, Bernard (O&amp;A, Aspendale)</cp:lastModifiedBy>
  <dcterms:created xsi:type="dcterms:W3CDTF">2015-10-13T05:34:57Z</dcterms:created>
  <dcterms:modified xsi:type="dcterms:W3CDTF">2015-10-14T04:26:18Z</dcterms:modified>
</cp:coreProperties>
</file>